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575" tabRatio="852" firstSheet="1" activeTab="5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 hidden="1">Проверка!$B$4:$D$5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Т-подкл'!$76:$77</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Т-подкл'!$78:$79</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ТП'!$C$26:$C$44</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ТП'!$A$21:$A$44</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ТП'!$E$34</definedName>
    <definedName name="pIns_P_PROCEDURE_TC_3">'Порядок ТП'!$E$38</definedName>
    <definedName name="pIns_P_PROCEDURE_TC_4">'Порядок ТП'!$E$41</definedName>
    <definedName name="pIns_P_PROCEDURE_TC_5">'Порядок ТП'!$E$44</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Т-подкл'!$T$75</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Т-подкл'!$48:$72</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Т-подкл'!$46:$74</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Т-подкл'!$47:$73</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ТП'!$H$45</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Т-подкл'!$BB$76</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REESTR_IP!$A$2:$I$34</definedName>
    <definedName name="VD_LIST">REESTR_VED!$A$2:$B$8</definedName>
    <definedName name="VD_ID_LIST">REESTR_VED!$A$2:$A$8</definedName>
    <definedName name="VD_NAME_LIST">REESTR_VED!$B$2:$B$8</definedName>
    <definedName name="et_B_FHD20_1">et_union_hor!$115:$123</definedName>
    <definedName name="DESCRIPTION_TERRITORY">REESTR_DS!$B$2</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Author</author>
  </authors>
  <commentList>
    <comment ref="E37" authorId="0">
      <text>
        <r>
          <rPr>
            <sz val="9"/>
            <rFont val="Arial"/>
            <charset val="134"/>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rFont val="Tahoma"/>
            <charset val="134"/>
          </rPr>
          <t>Тип организации</t>
        </r>
      </text>
    </comment>
    <comment ref="L6" authorId="0">
      <text>
        <r>
          <rPr>
            <sz val="9"/>
            <rFont val="Tahoma"/>
            <charset val="134"/>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rFont val="Arial"/>
            <charset val="134"/>
          </rPr>
          <t>сюда же для некоторых формул может входить:
- VOTV
- HOTVSNA</t>
        </r>
      </text>
    </comment>
    <comment ref="U2" authorId="0">
      <text>
        <r>
          <rPr>
            <sz val="9"/>
            <rFont val="Arial"/>
            <charset val="134"/>
          </rPr>
          <t>сюда же для некоторых формул может входить:
- VOTV
- HOTVSNA</t>
        </r>
      </text>
    </comment>
  </commentList>
</comments>
</file>

<file path=xl/sharedStrings.xml><?xml version="1.0" encoding="utf-8"?>
<sst xmlns="http://schemas.openxmlformats.org/spreadsheetml/2006/main" count="28816" uniqueCount="6581">
  <si>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</si>
  <si>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</si>
  <si>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</si>
  <si>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</si>
  <si>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</si>
  <si>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</si>
  <si>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</si>
  <si>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</si>
  <si>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</si>
  <si>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</si>
  <si>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</si>
  <si>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</si>
  <si>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
• Для каждого сообщения возможны 2 статуса: ошибка и предупреждение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</si>
  <si>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26322562</t>
  </si>
  <si>
    <t>Flag_Row_Size</t>
  </si>
  <si>
    <t>Субъект РФ</t>
  </si>
  <si>
    <t>Республика Татарстан</t>
  </si>
  <si>
    <t>Состав раскрываемой информации</t>
  </si>
  <si>
    <t>Привлечение к ответственности за указанный период отсутствует</t>
  </si>
  <si>
    <t>нет</t>
  </si>
  <si>
    <t>PRICE, REQUEST</t>
  </si>
  <si>
    <t>Начало
периода регулирования</t>
  </si>
  <si>
    <t>Как заполнить?</t>
  </si>
  <si>
    <t>Начало периода регулирования</t>
  </si>
  <si>
    <t>Окончание
периода регулирования</t>
  </si>
  <si>
    <t>Окончание периода регулирования</t>
  </si>
  <si>
    <t>ORG</t>
  </si>
  <si>
    <t>Дата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</si>
  <si>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</si>
  <si>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</si>
  <si>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</si>
  <si>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</si>
  <si>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</si>
  <si>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</si>
  <si>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</si>
  <si>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</si>
  <si>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</si>
  <si>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</si>
  <si>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</si>
  <si>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</si>
  <si>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</si>
  <si>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108-73/тп-2024</t>
  </si>
  <si>
    <t>Наименование органа регулирования, принявшего решение об утверждении тарифов</t>
  </si>
  <si>
    <t>Государственный комитет РТ по тарифам</t>
  </si>
  <si>
    <t>Источник официального опубликования решения</t>
  </si>
  <si>
    <t>"Официальный портал правовой информации
Республики Татарстан"</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</si>
  <si>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</si>
  <si>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</si>
  <si>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"ОЭЗ ППТ "Алабуга"</t>
  </si>
  <si>
    <t>Наименование (описание) обособленного подразделения</t>
  </si>
  <si>
    <t>ИНН</t>
  </si>
  <si>
    <t>1646019914</t>
  </si>
  <si>
    <t>КПП</t>
  </si>
  <si>
    <t>164601001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</si>
  <si>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</si>
  <si>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</si>
  <si>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</si>
  <si>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</si>
  <si>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</si>
  <si>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</si>
  <si>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rPr>
        <sz val="9"/>
        <rFont val="Tahoma"/>
        <charset val="134"/>
      </rPr>
      <t xml:space="preserve">Тариф на горячую воду предлагается </t>
    </r>
    <r>
      <rPr>
        <b/>
        <sz val="9"/>
        <rFont val="Tahoma"/>
        <charset val="204"/>
      </rPr>
      <t>с (!)</t>
    </r>
    <r>
      <rPr>
        <sz val="9"/>
        <rFont val="Tahoma"/>
        <charset val="204"/>
      </rPr>
      <t xml:space="preserve"> разбивкой по поставщикам</t>
    </r>
  </si>
  <si>
    <r>
      <rPr>
        <sz val="9"/>
        <rFont val="Tahoma"/>
        <charset val="134"/>
      </rPr>
      <t xml:space="preserve">Тариф на горячую воду предлагается </t>
    </r>
    <r>
      <rPr>
        <b/>
        <sz val="9"/>
        <rFont val="Tahoma"/>
        <charset val="204"/>
      </rPr>
      <t>без (!)</t>
    </r>
    <r>
      <rPr>
        <sz val="9"/>
        <rFont val="Tahoma"/>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</si>
  <si>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</si>
  <si>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</si>
  <si>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</si>
  <si>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</si>
  <si>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</si>
  <si>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</si>
  <si>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</si>
  <si>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</si>
  <si>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</si>
  <si>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423600, РФ, Республика Татарстан, г.Елабуга, а/я 125</t>
  </si>
  <si>
    <t>Фамилия, имя, отчество руководителя</t>
  </si>
  <si>
    <t>Шагивалеев Тимур Наилевич</t>
  </si>
  <si>
    <t>Ответственный за заполнение формы</t>
  </si>
  <si>
    <t>Фамилия, имя, отчество</t>
  </si>
  <si>
    <t xml:space="preserve">Яркова Татьяна Александровна </t>
  </si>
  <si>
    <t>Должность</t>
  </si>
  <si>
    <t>Специалист ПТО ДВиВ УэиЭ</t>
  </si>
  <si>
    <t>Контактный телефон</t>
  </si>
  <si>
    <t>88555759032</t>
  </si>
  <si>
    <t>E-mail</t>
  </si>
  <si>
    <t xml:space="preserve">tyarkova@alabuga.ru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</si>
  <si>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</si>
  <si>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</si>
  <si>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</si>
  <si>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</si>
  <si>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</si>
  <si>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</si>
  <si>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</si>
  <si>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</si>
  <si>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</si>
  <si>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</si>
  <si>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</si>
  <si>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</si>
  <si>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</si>
  <si>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</si>
  <si>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</si>
  <si>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</si>
  <si>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</si>
  <si>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397</t>
  </si>
  <si>
    <t>Елабужский муниципальный район</t>
  </si>
  <si>
    <t>Город Елабуга</t>
  </si>
  <si>
    <t>92626101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</si>
  <si>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</si>
  <si>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</si>
  <si>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</si>
  <si>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</si>
  <si>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</si>
  <si>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</si>
  <si>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</si>
  <si>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</si>
  <si>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</si>
  <si>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</si>
  <si>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</si>
  <si>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</si>
  <si>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</si>
  <si>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</si>
  <si>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</si>
  <si>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</si>
  <si>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</si>
  <si>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</si>
  <si>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</si>
  <si>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</si>
  <si>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</si>
  <si>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</si>
  <si>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
 МО (территориям)</t>
  </si>
  <si>
    <t>Дифференциация по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</si>
  <si>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</si>
  <si>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</si>
  <si>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</si>
  <si>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</si>
  <si>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</si>
  <si>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</si>
  <si>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</si>
  <si>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</si>
  <si>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</si>
  <si>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</si>
  <si>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</si>
  <si>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</si>
  <si>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</si>
  <si>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</si>
  <si>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</si>
  <si>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</si>
  <si>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</si>
  <si>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</si>
  <si>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</si>
  <si>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</si>
  <si>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</si>
  <si>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</si>
  <si>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</si>
  <si>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</si>
  <si>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</si>
  <si>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</si>
  <si>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</si>
  <si>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</si>
  <si>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</si>
  <si>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</si>
  <si>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</si>
  <si>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</si>
  <si>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</si>
  <si>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</si>
  <si>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</si>
  <si>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</si>
  <si>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</si>
  <si>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</si>
  <si>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</si>
  <si>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</si>
  <si>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</si>
  <si>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</si>
  <si>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</si>
  <si>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</si>
  <si>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</si>
  <si>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</si>
  <si>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</si>
  <si>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</si>
  <si>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</si>
  <si>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</si>
  <si>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</si>
  <si>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</si>
  <si>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</si>
  <si>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</si>
  <si>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</si>
  <si>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</si>
  <si>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</si>
  <si>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</si>
  <si>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</si>
  <si>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</si>
  <si>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</si>
  <si>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</si>
  <si>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</si>
  <si>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</si>
  <si>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</si>
  <si>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</si>
  <si>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</si>
  <si>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</si>
  <si>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</si>
  <si>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</si>
  <si>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</si>
  <si>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</si>
  <si>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</si>
  <si>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</si>
  <si>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</si>
  <si>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</si>
  <si>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</si>
  <si>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</si>
  <si>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</si>
  <si>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</si>
  <si>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</si>
  <si>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</si>
  <si>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</si>
  <si>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</si>
  <si>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</si>
  <si>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</si>
  <si>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</si>
  <si>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</si>
  <si>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</si>
  <si>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</si>
  <si>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</si>
  <si>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</si>
  <si>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</si>
  <si>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</si>
  <si>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</si>
  <si>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</si>
  <si>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</si>
  <si>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</si>
  <si>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</si>
  <si>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</si>
  <si>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</si>
  <si>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</si>
  <si>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</si>
  <si>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</si>
  <si>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</si>
  <si>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</si>
  <si>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</si>
  <si>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</si>
  <si>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</si>
  <si>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</si>
  <si>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</si>
  <si>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</si>
  <si>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</si>
  <si>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</si>
  <si>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</si>
  <si>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</si>
  <si>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</si>
  <si>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 xml:space="preserve">Подключение (технологическое присоединение) к централизованной системе водоснабжения
</t>
  </si>
  <si>
    <t>"4189677"</t>
  </si>
  <si>
    <t>pIns_PT_VTAR_E_COLDVSNA</t>
  </si>
  <si>
    <t>pt_ntar_13</t>
  </si>
  <si>
    <t>pt_ter_13</t>
  </si>
  <si>
    <t>pt_cs_13</t>
  </si>
  <si>
    <t>Добавить централизованную систему для дифференциации</t>
  </si>
  <si>
    <t>Добавить территорию для дифференциации</t>
  </si>
  <si>
    <t>Добавить наименование тарифа</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</si>
  <si>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</si>
  <si>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</si>
  <si>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</si>
  <si>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</si>
  <si>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</si>
  <si>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</si>
  <si>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</si>
  <si>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</si>
  <si>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</si>
  <si>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</si>
  <si>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</si>
  <si>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</si>
  <si>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</si>
  <si>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</si>
  <si>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</si>
  <si>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</si>
  <si>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</si>
  <si>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</si>
  <si>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</si>
  <si>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</si>
  <si>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</si>
  <si>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</si>
  <si>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</si>
  <si>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</si>
  <si>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</si>
  <si>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</si>
  <si>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</si>
  <si>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</si>
  <si>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</si>
  <si>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</si>
  <si>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</si>
  <si>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</si>
  <si>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</si>
  <si>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</si>
  <si>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</si>
  <si>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</si>
  <si>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</si>
  <si>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</si>
  <si>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</si>
  <si>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</si>
  <si>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</si>
  <si>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</si>
  <si>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</si>
  <si>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</si>
  <si>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</si>
  <si>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</si>
  <si>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</si>
  <si>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</si>
  <si>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</si>
  <si>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</si>
  <si>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</si>
  <si>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</si>
  <si>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</si>
  <si>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</si>
  <si>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</si>
  <si>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</si>
  <si>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</si>
  <si>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</si>
  <si>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</si>
  <si>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</si>
  <si>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</si>
  <si>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</si>
  <si>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</si>
  <si>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</si>
  <si>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</si>
  <si>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</si>
  <si>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</si>
  <si>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</si>
  <si>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</si>
  <si>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</si>
  <si>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</si>
  <si>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</si>
  <si>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</si>
  <si>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</si>
  <si>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</si>
  <si>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</si>
  <si>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</si>
  <si>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</si>
  <si>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</si>
  <si>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</si>
  <si>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</si>
  <si>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</si>
  <si>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</si>
  <si>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</si>
  <si>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</si>
  <si>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</si>
  <si>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</si>
  <si>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</si>
  <si>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</si>
  <si>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</si>
  <si>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</si>
  <si>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</si>
  <si>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</si>
  <si>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</si>
  <si>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</si>
  <si>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</si>
  <si>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</si>
  <si>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</si>
  <si>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</si>
  <si>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</si>
  <si>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</si>
  <si>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</si>
  <si>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</si>
  <si>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</si>
  <si>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</si>
  <si>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</si>
  <si>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</si>
  <si>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</si>
  <si>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</si>
  <si>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</si>
  <si>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</si>
  <si>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</si>
  <si>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</si>
  <si>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</si>
  <si>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</si>
  <si>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</si>
  <si>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</si>
  <si>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</si>
  <si>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</si>
  <si>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</si>
  <si>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</si>
  <si>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</si>
  <si>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</si>
  <si>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</si>
  <si>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</si>
  <si>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</si>
  <si>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</si>
  <si>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</si>
  <si>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
В колонке "Единицы измерения" в блоке "Теплоэлектростанции" выбирается одно из значений: кВт*ч или МВт.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</si>
  <si>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
В случае отсутствия канализационных сетей, насосных станций, очистных сооружений в соответствующей колонке указывается значение 0.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</si>
  <si>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
В случае отсутствия водопроводных сетей, скважин, подкачивающих станций в соответствующей колонке указывается значение 0.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</si>
  <si>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
В случае отсутствия водопроводных сетей, центральных тепловых пунктов в соответствующей колонке указывается значение 0.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</si>
  <si>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</si>
  <si>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</si>
  <si>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</si>
  <si>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</si>
  <si>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</si>
  <si>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</si>
  <si>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
В случае оказания услуг по нескольким видам деятельности информация по каждому из них указывается отдельно.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</si>
  <si>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</si>
  <si>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</si>
  <si>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</si>
  <si>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</si>
  <si>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</si>
  <si>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</si>
  <si>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</si>
  <si>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</si>
  <si>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</si>
  <si>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</si>
  <si>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</si>
  <si>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</si>
  <si>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</si>
  <si>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</si>
  <si>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</si>
  <si>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</si>
  <si>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</si>
  <si>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</si>
  <si>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</si>
  <si>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</si>
  <si>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</si>
  <si>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</si>
  <si>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
Значение выбирается из перечня:
   - вода;
   - пар;
   - отборный пар, 1.2 – 2.5 кг/см2;
   - отборный пар, 2.5 – 7 кг/см2;
   - отборный пар, 7 – 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</si>
  <si>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</si>
  <si>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</si>
  <si>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</si>
  <si>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</si>
  <si>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</si>
  <si>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</si>
  <si>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</si>
  <si>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</si>
  <si>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</si>
  <si>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</si>
  <si>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</si>
  <si>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</si>
  <si>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</si>
  <si>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</si>
  <si>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</si>
  <si>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</si>
  <si>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</si>
  <si>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</si>
  <si>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</si>
  <si>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</si>
  <si>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
руб./Гкал</t>
  </si>
  <si>
    <t>Ставка за содержание тепловой мощности,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</si>
  <si>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</si>
  <si>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</si>
  <si>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</si>
  <si>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</si>
  <si>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</si>
  <si>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</si>
  <si>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</si>
  <si>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</si>
  <si>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</si>
  <si>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
руб./Гкал</t>
  </si>
  <si>
    <t>ставка за содержание тепловой мощности,
тыс. руб./Гкал/ч/мес</t>
  </si>
  <si>
    <t>дата начала</t>
  </si>
  <si>
    <t>дата окончания</t>
  </si>
  <si>
    <t>Период действия</t>
  </si>
  <si>
    <t>Одноставочный тариф,
руб./куб.м</t>
  </si>
  <si>
    <t>В колонке «Параметр дифференциации тарифов» указывается вид теплоносителя.
Значение выбирается из перечня:
   - вода;
   - пар;
   - отборный пар, 1.2 – 2.5 кг/см2;
   - отборный пар, 2.5 – 7 кг/см2;
   - отборный пар, 7 – 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</si>
  <si>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Значение выбирается из перечня:
   - вода;
   - пар;
   - отборный пар, 1.2 – 2.5 кг/см2;
   - отборный пар, 2.5 – 7 кг/см2;
   - отборный пар, 7 – 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</si>
  <si>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</si>
  <si>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</si>
  <si>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
руб./куб. м</t>
  </si>
  <si>
    <t>Двухкомпонентный тариф на горячую воду</t>
  </si>
  <si>
    <t>Компонент на теплоноситель,
руб./куб. м</t>
  </si>
  <si>
    <t>Компонента на тепловую энергию</t>
  </si>
  <si>
    <t>Одноставочный компонент тарифа на тепловую энергию,
руб/Гкал</t>
  </si>
  <si>
    <t>Двухставочный компонент тарифа на тепловую энергию</t>
  </si>
  <si>
    <t>NUM_CONS</t>
  </si>
  <si>
    <t>ставка за потребление горячей воды,
руб./куб. м</t>
  </si>
  <si>
    <t>ставка за содержание тепловой мощности в компоненте на тепловую энергию,
тыс. руб./Гкал/ч в мес.</t>
  </si>
  <si>
    <t>В колонке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</si>
  <si>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</si>
  <si>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</si>
  <si>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</si>
  <si>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</si>
  <si>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</si>
  <si>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</si>
  <si>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</si>
  <si>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</si>
  <si>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</si>
  <si>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
Гкал/ч</t>
  </si>
  <si>
    <t>Тип прокладки тепловых сетей</t>
  </si>
  <si>
    <t>Диаметр тепловых сетей,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</si>
  <si>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</si>
  <si>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</si>
  <si>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</si>
  <si>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</si>
  <si>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</si>
  <si>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</si>
  <si>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</si>
  <si>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
Дифференциация тарифа осуществляется в соответствии с законодательством в сфере водоснабжения и водоотведения.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</si>
  <si>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</si>
  <si>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</si>
  <si>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</si>
  <si>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</si>
  <si>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</si>
  <si>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</si>
  <si>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</si>
  <si>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
руб./куб. м</t>
  </si>
  <si>
    <t>ставка платы за объем поданной воды,
руб./куб. м</t>
  </si>
  <si>
    <t>ставка платы за содержание мощности,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</si>
  <si>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</si>
  <si>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</si>
  <si>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</si>
  <si>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</si>
  <si>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</si>
  <si>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</si>
  <si>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</si>
  <si>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</si>
  <si>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</si>
  <si>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</si>
  <si>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</si>
  <si>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</si>
  <si>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</si>
  <si>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
куб. м/сут</t>
  </si>
  <si>
    <t>Диапазон диаметров водопроводной сети,
мм</t>
  </si>
  <si>
    <t>Протяженность водопроводной сети,
км</t>
  </si>
  <si>
    <t>Условия прокладки сетей</t>
  </si>
  <si>
    <t>Ставка тарифа за подключаемую нагрузку водопроводной сети,
тыс. руб./куб. м в сутки</t>
  </si>
  <si>
    <t>Ставка тарифа за протяженность водопроводной сети диаметром d,
тыс. руб./км</t>
  </si>
  <si>
    <t>Срок действия тарифов</t>
  </si>
  <si>
    <t>pt_ist_te_13</t>
  </si>
  <si>
    <t>Физические/юридические лица по г.Елабуга</t>
  </si>
  <si>
    <t>40 мм и менее</t>
  </si>
  <si>
    <t>открытый способ, ГНБ</t>
  </si>
  <si>
    <t>×</t>
  </si>
  <si>
    <t>от 41 мм до 70 мм включительно</t>
  </si>
  <si>
    <t>от 101 мм до 150 мм включительно</t>
  </si>
  <si>
    <t>от 151 мм до 200 мм включительно</t>
  </si>
  <si>
    <t>от 201 мм до 250 мм включительно</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</si>
  <si>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</si>
  <si>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</si>
  <si>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
руб./куб. м</t>
  </si>
  <si>
    <t>ставка платы за объем 
принятых сточных вод,
руб./куб. м</t>
  </si>
  <si>
    <t>pt_ist_te_17</t>
  </si>
  <si>
    <t>pt_ist_te_18</t>
  </si>
  <si>
    <t>Добавить протяженность сети</t>
  </si>
  <si>
    <t>Добавить диапазон диаметров</t>
  </si>
  <si>
    <t>Подключаемая нагрузка канализационной сети,
куб. м/сут</t>
  </si>
  <si>
    <t>Диапазон диаметров канализационной сети,
мм</t>
  </si>
  <si>
    <t>Протяженность канализационной  сети,
км</t>
  </si>
  <si>
    <t>Ставка тарифа за подключаемую нагрузку канализационной сети,
тыс. руб./куб. м в сутки</t>
  </si>
  <si>
    <t>Ставка тарифа за протяженность канализационной сети диаметром d,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</si>
  <si>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</si>
  <si>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</si>
  <si>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</si>
  <si>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</si>
  <si>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</si>
  <si>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</si>
  <si>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</si>
  <si>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</si>
  <si>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</si>
  <si>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</si>
  <si>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</si>
  <si>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</si>
  <si>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</si>
  <si>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</si>
  <si>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</si>
  <si>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</si>
  <si>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</si>
  <si>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</si>
  <si>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</si>
  <si>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</si>
  <si>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</si>
  <si>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</si>
  <si>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</si>
  <si>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</si>
  <si>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</si>
  <si>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</si>
  <si>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</si>
  <si>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</si>
  <si>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</si>
  <si>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</si>
  <si>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</si>
  <si>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</si>
  <si>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</si>
  <si>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</si>
  <si>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</si>
  <si>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</si>
  <si>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</si>
  <si>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</si>
  <si>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</si>
  <si>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</si>
  <si>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</si>
  <si>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</si>
  <si>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</si>
  <si>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</si>
  <si>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</si>
  <si>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</si>
  <si>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</si>
  <si>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</si>
  <si>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</si>
  <si>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</si>
  <si>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</si>
  <si>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</si>
  <si>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</si>
  <si>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</si>
  <si>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</si>
  <si>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</si>
  <si>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</si>
  <si>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</si>
  <si>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</si>
  <si>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</si>
  <si>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</si>
  <si>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</si>
  <si>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</si>
  <si>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</si>
  <si>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</si>
  <si>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</si>
  <si>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</si>
  <si>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</si>
  <si>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</si>
  <si>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</si>
  <si>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</si>
  <si>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</si>
  <si>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</si>
  <si>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</si>
  <si>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</si>
  <si>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</si>
  <si>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</si>
  <si>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</si>
  <si>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</si>
  <si>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</si>
  <si>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</si>
  <si>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</si>
  <si>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</si>
  <si>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</si>
  <si>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</si>
  <si>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</si>
  <si>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</si>
  <si>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</si>
  <si>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</si>
  <si>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</si>
  <si>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</si>
  <si>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</si>
  <si>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</si>
  <si>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</si>
  <si>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</si>
  <si>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</si>
  <si>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</si>
  <si>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</si>
  <si>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</si>
  <si>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</si>
  <si>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</si>
  <si>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</si>
  <si>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</si>
  <si>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</si>
  <si>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</si>
  <si>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</si>
  <si>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</si>
  <si>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</si>
  <si>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</si>
  <si>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</si>
  <si>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</si>
  <si>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</si>
  <si>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</si>
  <si>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</si>
  <si>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</si>
  <si>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</si>
  <si>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</si>
  <si>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</si>
  <si>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</si>
  <si>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</si>
  <si>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</si>
  <si>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</si>
  <si>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</si>
  <si>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</si>
  <si>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</si>
  <si>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</si>
  <si>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</si>
  <si>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</si>
  <si>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</si>
  <si>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</si>
  <si>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</si>
  <si>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</si>
  <si>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</si>
  <si>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</si>
  <si>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</si>
  <si>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</si>
  <si>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</si>
  <si>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</si>
  <si>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</si>
  <si>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</si>
  <si>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</si>
  <si>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</si>
  <si>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</si>
  <si>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</si>
  <si>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</si>
  <si>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</si>
  <si>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</si>
  <si>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</si>
  <si>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</si>
  <si>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</si>
  <si>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</si>
  <si>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</si>
  <si>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</si>
  <si>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</si>
  <si>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</si>
  <si>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</si>
  <si>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</si>
  <si>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</si>
  <si>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</si>
  <si>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</si>
  <si>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</si>
  <si>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</si>
  <si>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</si>
  <si>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</si>
  <si>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</si>
  <si>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</si>
  <si>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</si>
  <si>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</si>
  <si>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</si>
  <si>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</si>
  <si>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</si>
  <si>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</si>
  <si>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</si>
  <si>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</si>
  <si>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</si>
  <si>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</si>
  <si>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</si>
  <si>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</si>
  <si>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</si>
  <si>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</si>
  <si>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</si>
  <si>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</si>
  <si>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</si>
  <si>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</si>
  <si>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</si>
  <si>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</si>
  <si>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</si>
  <si>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</si>
  <si>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</si>
  <si>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</si>
  <si>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</si>
  <si>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</si>
  <si>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</si>
  <si>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</si>
  <si>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</si>
  <si>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</si>
  <si>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</si>
  <si>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</si>
  <si>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</si>
  <si>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</si>
  <si>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</si>
  <si>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</si>
  <si>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</si>
  <si>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</si>
  <si>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</si>
  <si>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</si>
  <si>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</si>
  <si>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</si>
  <si>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</si>
  <si>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</si>
  <si>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</si>
  <si>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</si>
  <si>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</si>
  <si>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</si>
  <si>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</si>
  <si>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</si>
  <si>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</si>
  <si>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</si>
  <si>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</si>
  <si>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</si>
  <si>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</si>
  <si>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</si>
  <si>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</si>
  <si>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</si>
  <si>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</si>
  <si>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</si>
  <si>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</si>
  <si>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</si>
  <si>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</si>
  <si>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</si>
  <si>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</si>
  <si>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</si>
  <si>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</si>
  <si>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</si>
  <si>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</si>
  <si>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</si>
  <si>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</si>
  <si>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</si>
  <si>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</si>
  <si>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</si>
  <si>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</si>
  <si>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</si>
  <si>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</si>
  <si>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</si>
  <si>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</si>
  <si>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</si>
  <si>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</si>
  <si>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</si>
  <si>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</si>
  <si>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</si>
  <si>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</si>
  <si>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</si>
  <si>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</si>
  <si>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</si>
  <si>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</si>
  <si>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</si>
  <si>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</si>
  <si>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</si>
  <si>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</si>
  <si>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</si>
  <si>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</si>
  <si>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</si>
  <si>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</si>
  <si>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</si>
  <si>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</si>
  <si>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</si>
  <si>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</si>
  <si>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</si>
  <si>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</si>
  <si>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</si>
  <si>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</si>
  <si>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</si>
  <si>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</si>
  <si>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</si>
  <si>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</si>
  <si>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</si>
  <si>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</si>
  <si>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</si>
  <si>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</si>
  <si>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</si>
  <si>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</si>
  <si>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</si>
  <si>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</si>
  <si>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</si>
  <si>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</si>
  <si>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</si>
  <si>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</si>
  <si>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</si>
  <si>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</si>
  <si>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</si>
  <si>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</si>
  <si>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</si>
  <si>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</si>
  <si>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
В случае, если показатели не утверждены в колонке «Информация» указывается «Не утверждены».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</si>
  <si>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</si>
  <si>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</si>
  <si>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</si>
  <si>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</si>
  <si>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</si>
  <si>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</si>
  <si>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</si>
  <si>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</si>
  <si>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</si>
  <si>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</si>
  <si>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</si>
  <si>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</si>
  <si>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</si>
  <si>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</si>
  <si>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</si>
  <si>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</si>
  <si>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</si>
  <si>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</si>
  <si>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</si>
  <si>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</si>
  <si>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</si>
  <si>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</si>
  <si>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</si>
  <si>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</si>
  <si>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</si>
  <si>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</si>
  <si>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</si>
  <si>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</si>
  <si>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</si>
  <si>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</si>
  <si>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</si>
  <si>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</si>
  <si>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</si>
  <si>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</si>
  <si>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</si>
  <si>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</si>
  <si>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</si>
  <si>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</si>
  <si>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</si>
  <si>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</si>
  <si>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</si>
  <si>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</si>
  <si>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</si>
  <si>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</si>
  <si>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</si>
  <si>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</si>
  <si>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</si>
  <si>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</si>
  <si>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</si>
  <si>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</si>
  <si>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</si>
  <si>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</si>
  <si>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</si>
  <si>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</si>
  <si>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</si>
  <si>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</si>
  <si>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</si>
  <si>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</si>
  <si>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</si>
  <si>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</si>
  <si>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</si>
  <si>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</si>
  <si>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</si>
  <si>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</si>
  <si>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</si>
  <si>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</si>
  <si>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</si>
  <si>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</si>
  <si>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</si>
  <si>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</si>
  <si>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</si>
  <si>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</si>
  <si>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</si>
  <si>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</si>
  <si>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</si>
  <si>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</si>
  <si>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</si>
  <si>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</si>
  <si>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</si>
  <si>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</si>
  <si>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</si>
  <si>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</si>
  <si>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</si>
  <si>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</si>
  <si>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</si>
  <si>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</si>
  <si>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</si>
  <si>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</si>
  <si>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</si>
  <si>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</si>
  <si>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</si>
  <si>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</si>
  <si>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</si>
  <si>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</si>
  <si>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</si>
  <si>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</si>
  <si>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</si>
  <si>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</si>
  <si>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</si>
  <si>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</si>
  <si>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</si>
  <si>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</si>
  <si>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</si>
  <si>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</si>
  <si>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</si>
  <si>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</si>
  <si>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</si>
  <si>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</si>
  <si>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</si>
  <si>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</si>
  <si>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</si>
  <si>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</si>
  <si>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</si>
  <si>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</si>
  <si>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</si>
  <si>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</si>
  <si>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</si>
  <si>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</si>
  <si>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</si>
  <si>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</si>
  <si>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</si>
  <si>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</si>
  <si>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</si>
  <si>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</si>
  <si>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</si>
  <si>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</si>
  <si>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</si>
  <si>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</si>
  <si>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</si>
  <si>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</si>
  <si>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</si>
  <si>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</si>
  <si>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</si>
  <si>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</si>
  <si>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</si>
  <si>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</si>
  <si>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</si>
  <si>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</si>
  <si>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
Указывается информация о случаях прекращения подачи тепловой энергии потребителям, предусмотренных законодательством в сфере теплоснабжения.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</si>
  <si>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</si>
  <si>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</si>
  <si>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</si>
  <si>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</si>
  <si>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</si>
  <si>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</si>
  <si>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</si>
  <si>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</si>
  <si>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</si>
  <si>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</si>
  <si>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</si>
  <si>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</si>
  <si>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</si>
  <si>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</si>
  <si>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</si>
  <si>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</si>
  <si>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</si>
  <si>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</si>
  <si>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</si>
  <si>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</si>
  <si>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</si>
  <si>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</si>
  <si>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</si>
  <si>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</si>
  <si>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</si>
  <si>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</si>
  <si>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</si>
  <si>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</si>
  <si>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</si>
  <si>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</si>
  <si>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</si>
  <si>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</si>
  <si>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</si>
  <si>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</si>
  <si>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</si>
  <si>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</si>
  <si>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</si>
  <si>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</si>
  <si>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</si>
  <si>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</si>
  <si>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</si>
  <si>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</si>
  <si>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</si>
  <si>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</si>
  <si>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</si>
  <si>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</si>
  <si>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</si>
  <si>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</si>
  <si>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</si>
  <si>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</si>
  <si>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</si>
  <si>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</si>
  <si>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charset val="204"/>
      </rPr>
      <t>1</t>
    </r>
    <r>
      <rPr>
        <sz val="9"/>
        <rFont val="Tahoma"/>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</si>
  <si>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</si>
  <si>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</si>
  <si>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</si>
  <si>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</si>
  <si>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</si>
  <si>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</si>
  <si>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</si>
  <si>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</si>
  <si>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</si>
  <si>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</si>
  <si>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</si>
  <si>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</si>
  <si>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</si>
  <si>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</si>
  <si>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</si>
  <si>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</si>
  <si>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</si>
  <si>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</si>
  <si>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</si>
  <si>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</si>
  <si>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</si>
  <si>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</si>
  <si>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</si>
  <si>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</si>
  <si>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</si>
  <si>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</si>
  <si>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</si>
  <si>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</si>
  <si>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</si>
  <si>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</si>
  <si>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</si>
  <si>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</si>
  <si>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</si>
  <si>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</si>
  <si>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</si>
  <si>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</si>
  <si>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</si>
  <si>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</si>
  <si>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</si>
  <si>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</si>
  <si>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</si>
  <si>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</si>
  <si>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</si>
  <si>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</si>
  <si>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</si>
  <si>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</si>
  <si>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</si>
  <si>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</si>
  <si>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</si>
  <si>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</si>
  <si>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</si>
  <si>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</si>
  <si>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</si>
  <si>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</si>
  <si>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</si>
  <si>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</si>
  <si>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</si>
  <si>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</si>
  <si>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</si>
  <si>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</si>
  <si>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</si>
  <si>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</si>
  <si>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</si>
  <si>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</si>
  <si>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</si>
  <si>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</si>
  <si>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</si>
  <si>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</si>
  <si>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</si>
  <si>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</si>
  <si>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</si>
  <si>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</si>
  <si>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</si>
  <si>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</si>
  <si>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</si>
  <si>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</si>
  <si>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</si>
  <si>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</si>
  <si>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</si>
  <si>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</si>
  <si>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</si>
  <si>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</si>
  <si>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</si>
  <si>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</si>
  <si>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</si>
  <si>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</si>
  <si>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</si>
  <si>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</si>
  <si>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</si>
  <si>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
</t>
  </si>
  <si>
    <t xml:space="preserve">транспортировки питьевой воды, на единицу объёма транспортируемой воды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</si>
  <si>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</si>
  <si>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</si>
  <si>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</si>
  <si>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</si>
  <si>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</si>
  <si>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</si>
  <si>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</si>
  <si>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</si>
  <si>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</si>
  <si>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</si>
  <si>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</si>
  <si>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</si>
  <si>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</si>
  <si>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</si>
  <si>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
2) цены на теплоноситель в виде пара, поставляемый теплоснабжающими организациями потребителям, другим теплоснабжающим организациям;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
(часть 2.1 введена Федеральным законом от 01.12.2014 № 404-ФЗ)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</si>
  <si>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</si>
  <si>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</si>
  <si>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</si>
  <si>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</si>
  <si>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</si>
  <si>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</si>
  <si>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</si>
  <si>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</si>
  <si>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</si>
  <si>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</si>
  <si>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</si>
  <si>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</si>
  <si>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</si>
  <si>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</si>
  <si>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https://alabuga.ru/ru/information</t>
  </si>
  <si>
    <t>https://portal.eias.ru/Portal/DownloadPage.aspx?type=12&amp;guid=23131e77-ace3-430b-ba91-97bcf9b982eb</t>
  </si>
  <si>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</si>
  <si>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https://portal.eias.ru/Portal/DownloadPage.aspx?type=12&amp;guid=6d43a933-188e-4f51-8b60-fa5aa063686d,  https://portal.eias.ru/Portal/DownloadPage.aspx?type=12&amp;guid=2e3e6453-7bf8-48c9-9192-3344691df0b6</t>
  </si>
  <si>
    <t>1.  копии учредительных документов (для физических лиц - копия паспорта или иного документа, удостоверяющего личность).
2. копии правоустанавливающих и правоудостоверяющих документов на земельный участок, 
3.  копии правоустанавливающих и правоудостоверяющих документов на подключаемый объект.
4. ситуационный план расположения объекта;
5. топографическая карта земельного участка;
6. баланс водопотребления и водоотведения подключаемого объекта, в том числе на пожаротушение, периодические нужды, заполнение и опорожнение бассейнов, прием поверхностных сточных вод, а также с распределением общего объема сточных вод по канализационным выпускам (процентов), при подключении к централизованной системе горячего водоснабжения - баланс потребления горячей воды подключаемого объекта (с указанием целей использования горячей воды);
7. градостроительный план земельного участка.</t>
  </si>
  <si>
    <t>https://portal.eias.ru/Portal/DownloadPage.aspx?type=12&amp;guid=7b0e7eff-848a-4a61-b876-f27850f24f97</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</si>
  <si>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</si>
  <si>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Постановление Правительства РФ от 30.11.2021г №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</si>
  <si>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</si>
  <si>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Федеральный закон от 07.12.2011г. N 416 ФЗ «О водоснабжении и водоотведении»</t>
  </si>
  <si>
    <t>Постановление Правительства РФ от 29.07.2013 г. N 645 «Об утверждении типовых договоров в области холодного водоснабжения и водоотведения»</t>
  </si>
  <si>
    <t>ППРФ №406 от 13.05.2013г. "О ГОСУДАРСТВЕННОМ РЕГУЛИРОВАНИИ ТАРИФОВ В СФЕРЕ ВОДОСНАБЖЕНИЯ И ВОДООТВЕДЕНИЯ"</t>
  </si>
  <si>
    <t xml:space="preserve">ППРФ № 1134 от 3.11.2016г. "О ВОПРОСАХ ОСУЩЕСТВЛЕНИЯ ХОЛОДНОГО ВОДОСНАБЖЕНИЯ И ВОДООТВЕДЕНИЯ".    </t>
  </si>
  <si>
    <t>5.1.1</t>
  </si>
  <si>
    <t>Производственно-технический отдел - 8 (85557) 5-90-32</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</si>
  <si>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</si>
  <si>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5.2.1</t>
  </si>
  <si>
    <t>Республика Татарстан, Елабужский район, г. Елабуга, ул. Чапаева, 53, каб. 101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</si>
  <si>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</si>
  <si>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Понедельник- пятница (перерыв с 11-30 до 12-30): с 08:00 до 17:00</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</si>
  <si>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</si>
  <si>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</si>
  <si>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</si>
  <si>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</si>
  <si>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</si>
  <si>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</si>
  <si>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</si>
  <si>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</si>
  <si>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</si>
  <si>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</si>
  <si>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</si>
  <si>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</si>
  <si>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</si>
  <si>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</si>
  <si>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
В случае, если показатели надежности и качества не утверждены в колонке «Информация» указывается «Не утверждены».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</si>
  <si>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</si>
  <si>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</si>
  <si>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</si>
  <si>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</si>
  <si>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</si>
  <si>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</si>
  <si>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</si>
  <si>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</si>
  <si>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</si>
  <si>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</si>
  <si>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
(MONTH)</t>
  </si>
  <si>
    <t>Квартал
(QUARTER)</t>
  </si>
  <si>
    <t>Месяц
(kind_of_publication)</t>
  </si>
  <si>
    <t>НДС
/kind_of_NDS/</t>
  </si>
  <si>
    <t>Номер СЦХВ(СЦВО)
/SKI_number/</t>
  </si>
  <si>
    <t>Единица измерения объема оказываемых услуг ГВС
/kind_of_unit_GVS/</t>
  </si>
  <si>
    <t>Метод регулирования
/kind_of_control_method/</t>
  </si>
  <si>
    <t>Сколько раз встретилось</t>
  </si>
  <si>
    <t>Вид деятельности, на которую установлен тариф /kind_of_activity_WARM/</t>
  </si>
  <si>
    <t>Вид теплоносителя
(kind_of_heat_transfer)</t>
  </si>
  <si>
    <t>Тип данных
(kind_of_data_type)</t>
  </si>
  <si>
    <t>Схема подключения
(kind_of_scheme_in)
(kind_of_scheme_in2)</t>
  </si>
  <si>
    <t>Группы потребителей
(kind_of_cons)</t>
  </si>
  <si>
    <t>Тип прокладки тепловых сетей
(kind_of_nets)</t>
  </si>
  <si>
    <t>Диапазаны диаметров тепловых сетей
(kind_of_diameters)</t>
  </si>
  <si>
    <t>Подключаемая тепловая нагрузка
(kind_of_load)</t>
  </si>
  <si>
    <t>Форма 2, таблица Х</t>
  </si>
  <si>
    <t>виды тарифа
/kind_group_rates/</t>
  </si>
  <si>
    <t>Заголовок таблицы</t>
  </si>
  <si>
    <t>name_rates_4</t>
  </si>
  <si>
    <t>name_rates_8</t>
  </si>
  <si>
    <t>Подключаемая тепловая нагрузка
(kind_of_load3)</t>
  </si>
  <si>
    <t>Вид теплоносителя
(kind_of_heat_transfer2)</t>
  </si>
  <si>
    <t>Вид теплоносителя
(kind_of_heat_transfer3)</t>
  </si>
  <si>
    <t>Вид топлива
(kind_of_fuel)</t>
  </si>
  <si>
    <t>Способ закупки товаров
(kind_of_zak)</t>
  </si>
  <si>
    <t>виды тарифа
/kind_group_rates_load/</t>
  </si>
  <si>
    <t>виды тарифа
/kind_group_rates_load_filter/</t>
  </si>
  <si>
    <t>виды признаков дифференциации
/kind_of_diff/</t>
  </si>
  <si>
    <t>Диапазаны диаметров водопроводных сетей
(kind_of_diameters2)</t>
  </si>
  <si>
    <t>List_H</t>
  </si>
  <si>
    <t>List_M</t>
  </si>
  <si>
    <t>kind_of_org_type</t>
  </si>
  <si>
    <t>Виды топлива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</si>
  <si>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</si>
  <si>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</si>
  <si>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</si>
  <si>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</si>
  <si>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</si>
  <si>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</si>
  <si>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</si>
  <si>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</si>
  <si>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</si>
  <si>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</si>
  <si>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</si>
  <si>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</si>
  <si>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</si>
  <si>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</si>
  <si>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</si>
  <si>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</si>
  <si>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</si>
  <si>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</si>
  <si>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</si>
  <si>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</si>
  <si>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</si>
  <si>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</si>
  <si>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</si>
  <si>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</si>
  <si>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</si>
  <si>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</si>
  <si>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</si>
  <si>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</si>
  <si>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</si>
  <si>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</si>
  <si>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</si>
  <si>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</si>
  <si>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</si>
  <si>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</si>
  <si>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</si>
  <si>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</si>
  <si>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</si>
  <si>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</si>
  <si>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</si>
  <si>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</si>
  <si>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</si>
  <si>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</si>
  <si>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</si>
  <si>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</si>
  <si>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</si>
  <si>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</si>
  <si>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</si>
  <si>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</si>
  <si>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</si>
  <si>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</si>
  <si>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</si>
  <si>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</si>
  <si>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</si>
  <si>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</si>
  <si>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</si>
  <si>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</si>
  <si>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</si>
  <si>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</si>
  <si>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</si>
  <si>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</si>
  <si>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</si>
  <si>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</si>
  <si>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</si>
  <si>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</si>
  <si>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</si>
  <si>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</si>
  <si>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</si>
  <si>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</si>
  <si>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</si>
  <si>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</si>
  <si>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</si>
  <si>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</si>
  <si>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</si>
  <si>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</si>
  <si>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</si>
  <si>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</si>
  <si>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</si>
  <si>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</si>
  <si>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</si>
  <si>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</si>
  <si>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</si>
  <si>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</si>
  <si>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</si>
  <si>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</si>
  <si>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</si>
  <si>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</si>
  <si>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</si>
  <si>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</si>
  <si>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</si>
  <si>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</si>
  <si>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</si>
  <si>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</si>
  <si>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</si>
  <si>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</si>
  <si>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</si>
  <si>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</si>
  <si>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</si>
  <si>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</si>
  <si>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</si>
  <si>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</si>
  <si>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</si>
  <si>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</si>
  <si>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</si>
  <si>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</si>
  <si>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</si>
  <si>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</si>
  <si>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</si>
  <si>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</si>
  <si>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</si>
  <si>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</si>
  <si>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</si>
  <si>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</si>
  <si>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</si>
  <si>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</si>
  <si>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</si>
  <si>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</si>
  <si>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</si>
  <si>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</si>
  <si>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</si>
  <si>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</si>
  <si>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</si>
  <si>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</si>
  <si>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</si>
  <si>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</si>
  <si>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</si>
  <si>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</si>
  <si>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</si>
  <si>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</si>
  <si>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</si>
  <si>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</si>
  <si>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</si>
  <si>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</si>
  <si>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</si>
  <si>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</si>
  <si>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</si>
  <si>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</si>
  <si>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</si>
  <si>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</si>
  <si>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</si>
  <si>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</si>
  <si>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</si>
  <si>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</si>
  <si>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</si>
  <si>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</si>
  <si>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</si>
  <si>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</si>
  <si>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</si>
  <si>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</si>
  <si>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</si>
  <si>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</si>
  <si>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</si>
  <si>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</si>
  <si>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</si>
  <si>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</si>
  <si>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</si>
  <si>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</si>
  <si>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</si>
  <si>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</si>
  <si>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</si>
  <si>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</si>
  <si>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</si>
  <si>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</si>
  <si>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</si>
  <si>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</si>
  <si>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</si>
  <si>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</si>
  <si>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</si>
  <si>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</si>
  <si>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</si>
  <si>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</si>
  <si>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</si>
  <si>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</si>
  <si>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</si>
  <si>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</si>
  <si>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</si>
  <si>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</si>
  <si>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</si>
  <si>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
/kind_of_NDS_tariff/</t>
  </si>
  <si>
    <t>НДС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</si>
  <si>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</si>
  <si>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</si>
  <si>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</si>
  <si>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</si>
  <si>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</si>
  <si>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</si>
  <si>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</si>
  <si>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</si>
  <si>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</si>
  <si>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</si>
  <si>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</si>
  <si>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</si>
  <si>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</si>
  <si>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</si>
  <si>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</si>
  <si>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</si>
  <si>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</si>
  <si>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</si>
  <si>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</si>
  <si>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</si>
  <si>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</si>
  <si>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</si>
  <si>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</si>
  <si>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</si>
  <si>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</si>
  <si>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</si>
  <si>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</si>
  <si>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</si>
  <si>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</si>
  <si>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</si>
  <si>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</si>
  <si>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</si>
  <si>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</si>
  <si>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</si>
  <si>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</si>
  <si>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</si>
  <si>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</si>
  <si>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</si>
  <si>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</si>
  <si>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</si>
  <si>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</si>
  <si>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</si>
  <si>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</si>
  <si>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</si>
  <si>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</si>
  <si>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</si>
  <si>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</si>
  <si>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</si>
  <si>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</si>
  <si>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</si>
  <si>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</si>
  <si>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</si>
  <si>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</si>
  <si>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</si>
  <si>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</si>
  <si>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</si>
  <si>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</si>
  <si>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</si>
  <si>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</si>
  <si>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</si>
  <si>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</si>
  <si>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</si>
  <si>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</si>
  <si>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</si>
  <si>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</si>
  <si>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</si>
  <si>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</si>
  <si>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
/kind_of_NDS_tariff_people/</t>
  </si>
  <si>
    <t>НДС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</si>
  <si>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</si>
  <si>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</si>
  <si>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</si>
  <si>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</si>
  <si>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</si>
  <si>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</si>
  <si>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</si>
  <si>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</si>
  <si>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</si>
  <si>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</si>
  <si>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</si>
  <si>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</si>
  <si>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</si>
  <si>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</si>
  <si>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</si>
  <si>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</si>
  <si>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</si>
  <si>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</si>
  <si>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</si>
  <si>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</si>
  <si>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</si>
  <si>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</si>
  <si>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</si>
  <si>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</si>
  <si>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</si>
  <si>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</si>
  <si>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</si>
  <si>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</si>
  <si>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</si>
  <si>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</si>
  <si>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</si>
  <si>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</si>
  <si>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</si>
  <si>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</si>
  <si>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</si>
  <si>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</si>
  <si>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</si>
  <si>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</si>
  <si>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</si>
  <si>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</si>
  <si>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</si>
  <si>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</si>
  <si>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</si>
  <si>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</si>
  <si>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</si>
  <si>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</si>
  <si>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</si>
  <si>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</si>
  <si>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</si>
  <si>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</si>
  <si>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</si>
  <si>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</si>
  <si>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</si>
  <si>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</si>
  <si>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</si>
  <si>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</si>
  <si>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</si>
  <si>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</si>
  <si>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</si>
  <si>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</si>
  <si>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</si>
  <si>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</si>
  <si>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</si>
  <si>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</si>
  <si>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</si>
  <si>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</si>
  <si>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</si>
  <si>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</si>
  <si>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</si>
  <si>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</si>
  <si>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</si>
  <si>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</si>
  <si>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</si>
  <si>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</si>
  <si>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</si>
  <si>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</si>
  <si>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</si>
  <si>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</si>
  <si>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</si>
  <si>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</si>
  <si>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</si>
  <si>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</si>
  <si>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</si>
  <si>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</si>
  <si>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</si>
  <si>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</si>
  <si>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</si>
  <si>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</si>
  <si>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</si>
  <si>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</si>
  <si>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</si>
  <si>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</si>
  <si>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</si>
  <si>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</si>
  <si>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</si>
  <si>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</si>
  <si>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</si>
  <si>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</si>
  <si>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</si>
  <si>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</si>
  <si>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</si>
  <si>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</si>
  <si>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</si>
  <si>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</si>
  <si>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</si>
  <si>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</si>
  <si>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</si>
  <si>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</si>
  <si>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</si>
  <si>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</si>
  <si>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</si>
  <si>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</si>
  <si>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</si>
  <si>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</si>
  <si>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</si>
  <si>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</si>
  <si>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</si>
  <si>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</si>
  <si>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</si>
  <si>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</si>
  <si>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</si>
  <si>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</si>
  <si>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</si>
  <si>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</si>
  <si>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</si>
  <si>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</si>
  <si>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</si>
  <si>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</si>
  <si>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</si>
  <si>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</si>
  <si>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</si>
  <si>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</si>
  <si>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</si>
  <si>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</si>
  <si>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</si>
  <si>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</si>
  <si>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</si>
  <si>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</si>
  <si>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</si>
  <si>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</si>
  <si>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</si>
  <si>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</si>
  <si>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</si>
  <si>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</si>
  <si>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</si>
  <si>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</si>
  <si>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</si>
  <si>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</si>
  <si>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</si>
  <si>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</si>
  <si>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</si>
  <si>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</si>
  <si>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</si>
  <si>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</si>
  <si>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</si>
  <si>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</si>
  <si>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</si>
  <si>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</si>
  <si>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</si>
  <si>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</si>
  <si>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</si>
  <si>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</si>
  <si>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</si>
  <si>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</si>
  <si>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</si>
  <si>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</si>
  <si>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</si>
  <si>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</si>
  <si>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</si>
  <si>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</si>
  <si>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</si>
  <si>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</si>
  <si>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</si>
  <si>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</si>
  <si>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</si>
  <si>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</si>
  <si>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</si>
  <si>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</si>
  <si>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</si>
  <si>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</si>
  <si>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</si>
  <si>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</si>
  <si>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</si>
  <si>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</si>
  <si>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</si>
  <si>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</si>
  <si>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</si>
  <si>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</si>
  <si>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</si>
  <si>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</si>
  <si>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</si>
  <si>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</si>
  <si>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</si>
  <si>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</si>
  <si>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</si>
  <si>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</si>
  <si>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</si>
  <si>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</si>
  <si>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</si>
  <si>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</si>
  <si>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</si>
  <si>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</si>
  <si>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</si>
  <si>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</si>
  <si>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</si>
  <si>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</si>
  <si>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</si>
  <si>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</si>
  <si>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</si>
  <si>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</si>
  <si>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</si>
  <si>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</si>
  <si>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</si>
  <si>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</si>
  <si>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</si>
  <si>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</si>
  <si>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</si>
  <si>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</si>
  <si>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</si>
  <si>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</si>
  <si>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</si>
  <si>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</si>
  <si>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</si>
  <si>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</si>
  <si>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</si>
  <si>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</si>
  <si>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</si>
  <si>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</si>
  <si>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</si>
  <si>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</si>
  <si>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</si>
  <si>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</si>
  <si>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</si>
  <si>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</si>
  <si>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</si>
  <si>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</si>
  <si>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</si>
  <si>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</si>
  <si>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</si>
  <si>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</si>
  <si>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</si>
  <si>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</si>
  <si>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</si>
  <si>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</si>
  <si>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</si>
  <si>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</si>
  <si>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</si>
  <si>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</si>
  <si>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</si>
  <si>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</si>
  <si>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</si>
  <si>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</si>
  <si>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</si>
  <si>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</si>
  <si>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</si>
  <si>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</si>
  <si>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</si>
  <si>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</si>
  <si>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</si>
  <si>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</si>
  <si>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</si>
  <si>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</si>
  <si>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</si>
  <si>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</si>
  <si>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</si>
  <si>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</si>
  <si>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</si>
  <si>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</si>
  <si>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</si>
  <si>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</si>
  <si>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</si>
  <si>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</si>
  <si>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</si>
  <si>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</si>
  <si>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</si>
  <si>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</si>
  <si>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</si>
  <si>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</si>
  <si>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</si>
  <si>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</si>
  <si>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</si>
  <si>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</si>
  <si>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</si>
  <si>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</si>
  <si>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</si>
  <si>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</si>
  <si>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</si>
  <si>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</si>
  <si>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</si>
  <si>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</si>
  <si>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</si>
  <si>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</si>
  <si>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</si>
  <si>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</si>
  <si>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</si>
  <si>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</si>
  <si>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</si>
  <si>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</si>
  <si>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</si>
  <si>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</si>
  <si>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</si>
  <si>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</si>
  <si>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</si>
  <si>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</si>
  <si>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</si>
  <si>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</si>
  <si>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</si>
  <si>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</si>
  <si>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</si>
  <si>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</si>
  <si>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</si>
  <si>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</si>
  <si>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</si>
  <si>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</si>
  <si>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</si>
  <si>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</si>
  <si>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</si>
  <si>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</si>
  <si>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</si>
  <si>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</si>
  <si>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</si>
  <si>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</si>
  <si>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</si>
  <si>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</si>
  <si>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</si>
  <si>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</si>
  <si>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</si>
  <si>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</si>
  <si>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</si>
  <si>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</si>
  <si>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</si>
  <si>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</si>
  <si>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</si>
  <si>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</si>
  <si>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</si>
  <si>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</si>
  <si>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</si>
  <si>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</si>
  <si>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</si>
  <si>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</si>
  <si>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</si>
  <si>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</si>
  <si>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</si>
  <si>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</si>
  <si>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</si>
  <si>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</si>
  <si>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</si>
  <si>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</si>
  <si>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</si>
  <si>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</si>
  <si>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</si>
  <si>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</si>
  <si>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</si>
  <si>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</si>
  <si>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</si>
  <si>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</si>
  <si>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</si>
  <si>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</si>
  <si>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</si>
  <si>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</si>
  <si>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</si>
  <si>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</si>
  <si>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</si>
  <si>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</si>
  <si>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</si>
  <si>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</si>
  <si>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</si>
  <si>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</si>
  <si>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</si>
  <si>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</si>
  <si>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</si>
  <si>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</si>
  <si>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</si>
  <si>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</si>
  <si>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</si>
  <si>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</si>
  <si>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</si>
  <si>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</si>
  <si>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</si>
  <si>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</si>
  <si>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</si>
  <si>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</si>
  <si>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</si>
  <si>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</si>
  <si>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</si>
  <si>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</si>
  <si>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</si>
  <si>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</si>
  <si>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</si>
  <si>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</si>
  <si>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</si>
  <si>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</si>
  <si>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</si>
  <si>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</si>
  <si>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</si>
  <si>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</si>
  <si>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</si>
  <si>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</si>
  <si>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</si>
  <si>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</si>
  <si>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</si>
  <si>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</si>
  <si>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</si>
  <si>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</si>
  <si>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</si>
  <si>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</si>
  <si>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</si>
  <si>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</si>
  <si>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</si>
  <si>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</si>
  <si>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</si>
  <si>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</si>
  <si>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</si>
  <si>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</si>
  <si>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</si>
  <si>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</si>
  <si>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</si>
  <si>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</si>
  <si>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</si>
  <si>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</si>
  <si>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</si>
  <si>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</si>
  <si>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</si>
  <si>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</si>
  <si>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</si>
  <si>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</si>
  <si>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</si>
  <si>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</si>
  <si>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</si>
  <si>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</si>
  <si>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</si>
  <si>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</si>
  <si>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
В поле "Наименование организации" указывается наименование юридического лица согласно уставу организации
В поле "ИНН" указывается идентификационный номер налогоплательщика.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</si>
  <si>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rPr>
        <sz val="9"/>
        <rFont val="Tahoma"/>
        <charset val="134"/>
      </rP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</si>
  <si>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</si>
  <si>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</si>
  <si>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</si>
  <si>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</si>
  <si>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</si>
  <si>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charset val="204"/>
      </rPr>
      <t>2</t>
    </r>
    <r>
      <rPr>
        <sz val="9"/>
        <rFont val="Tahoma"/>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</si>
  <si>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</si>
  <si>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</si>
  <si>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</si>
  <si>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</si>
  <si>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</si>
  <si>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Коэффициент дифференциации тарифа в зависимости от диаметра сетей:                                                                         - диаметром 40 мм и менее - коэффициент 0,40;                                                                                                           - диаметром от 40 мм до 70 мм - коэффициент 0,54;                                                                                             - диаметром от 70мм до 100 мм - коэффициент 0,54;                                                                                            - диаметром от 100 мм до 150 мм - коэффициент 0,63;                                                                                     - диаметром от 150 мм до 200 мм - коэффициент 0,70;                                                                                     - диаметром от 200 мм до 250 мм - коэффициент 0,75.</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</si>
  <si>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</si>
  <si>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</si>
  <si>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</si>
  <si>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</si>
  <si>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</si>
  <si>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</si>
  <si>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</si>
  <si>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</si>
  <si>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</si>
  <si>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</si>
  <si>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</si>
  <si>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</si>
  <si>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</si>
  <si>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</si>
  <si>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</si>
  <si>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</si>
  <si>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</si>
  <si>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</si>
  <si>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</si>
  <si>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</si>
  <si>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</si>
  <si>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</si>
  <si>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</si>
  <si>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</si>
  <si>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</si>
  <si>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</si>
  <si>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</si>
  <si>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</si>
  <si>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</si>
  <si>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</si>
  <si>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</si>
  <si>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</si>
  <si>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</si>
  <si>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</si>
  <si>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</si>
  <si>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</si>
  <si>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</si>
  <si>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</si>
  <si>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</si>
  <si>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</si>
  <si>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</si>
  <si>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</si>
  <si>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</si>
  <si>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</si>
  <si>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</si>
  <si>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</si>
  <si>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</si>
  <si>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</si>
  <si>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</si>
  <si>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</si>
  <si>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</si>
  <si>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</si>
  <si>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</si>
  <si>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</si>
  <si>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</si>
  <si>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</si>
  <si>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</si>
  <si>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</si>
  <si>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</si>
  <si>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</si>
  <si>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
Т-ТЭ | &gt;=25МВт
Т-ТЭ | ТСО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</si>
  <si>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</si>
  <si>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
Т-ТН
Т-передача ТЭ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</si>
  <si>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</si>
  <si>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</si>
  <si>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</si>
  <si>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</si>
  <si>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</si>
  <si>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
Т-ТЭ | &gt;=25МВт
Т-ТЭ | ТСО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</si>
  <si>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</si>
  <si>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
Т-ТН
Т-передача ТЭ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</si>
  <si>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</si>
  <si>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</si>
  <si>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</si>
  <si>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</si>
  <si>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</si>
  <si>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
ХВС. Т-пит
ХВС. Т-тех
ХВС. Т-транс
ХВС. Т-подвоз</t>
  </si>
  <si>
    <t>Форма 2. Информация
о тарифах в сфере холодного водоснабжения на товары (услуги) организации холодного водоснабжения, подлежащих регулированию</t>
  </si>
  <si>
    <t>PRICE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</si>
  <si>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</si>
  <si>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
ХВС. Т-пит
ХВС. Т-тех
ХВС. Т-транс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</si>
  <si>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</si>
  <si>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</si>
  <si>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</si>
  <si>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
ГВС. Т-гор.вода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</si>
  <si>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</si>
  <si>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</si>
  <si>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</si>
  <si>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
ГВС. Т-гор.вода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</si>
  <si>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</si>
  <si>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</si>
  <si>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</si>
  <si>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
ВО. Т-во
ВО. Т-транс</t>
  </si>
  <si>
    <t>Форма 2. Информация о тарифах в сфере водоотведения на товары (услуги) организации водоотведения, подлежащих регулированию</t>
  </si>
  <si>
    <t>PRICE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</si>
  <si>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</si>
  <si>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
ВО. Т-во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</si>
  <si>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</si>
  <si>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</si>
  <si>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</si>
  <si>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</si>
  <si>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</si>
  <si>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</si>
  <si>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</si>
  <si>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</si>
  <si>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</si>
  <si>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</si>
  <si>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
ИП. Детализация
ИП. Финансовый план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</si>
  <si>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</si>
  <si>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</si>
  <si>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</si>
  <si>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</si>
  <si>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</si>
  <si>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</si>
  <si>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</si>
  <si>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</si>
  <si>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</si>
  <si>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</si>
  <si>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</si>
  <si>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</si>
  <si>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</si>
  <si>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</si>
  <si>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</si>
  <si>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</si>
  <si>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</si>
  <si>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</si>
  <si>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</si>
  <si>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</si>
  <si>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</si>
  <si>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</si>
  <si>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</si>
  <si>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</si>
  <si>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</si>
  <si>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</si>
  <si>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</si>
  <si>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</si>
  <si>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</si>
  <si>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</si>
  <si>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</si>
  <si>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</si>
  <si>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</si>
  <si>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</si>
  <si>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</si>
  <si>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</si>
  <si>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</si>
  <si>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</si>
  <si>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</si>
  <si>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</si>
  <si>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</si>
  <si>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</si>
  <si>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</si>
  <si>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</si>
  <si>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</si>
  <si>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</si>
  <si>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</si>
  <si>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</si>
  <si>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</si>
  <si>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</si>
  <si>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</si>
  <si>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</si>
  <si>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</si>
  <si>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</si>
  <si>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</si>
  <si>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</si>
  <si>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</si>
  <si>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</si>
  <si>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</si>
  <si>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</si>
  <si>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</si>
  <si>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</si>
  <si>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</si>
  <si>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</si>
  <si>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</si>
  <si>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</si>
  <si>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</si>
  <si>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</si>
  <si>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</si>
  <si>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</si>
  <si>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</si>
  <si>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</si>
  <si>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</si>
  <si>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</si>
  <si>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</si>
  <si>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</si>
  <si>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</si>
  <si>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</si>
  <si>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</si>
  <si>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</si>
  <si>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</si>
  <si>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</si>
  <si>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</si>
  <si>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</si>
  <si>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</si>
  <si>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</si>
  <si>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</si>
  <si>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</si>
  <si>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</si>
  <si>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</si>
  <si>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</si>
  <si>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</si>
  <si>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</si>
  <si>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</si>
  <si>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</si>
  <si>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</si>
  <si>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</si>
  <si>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</si>
  <si>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</si>
  <si>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</si>
  <si>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</si>
  <si>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</si>
  <si>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</si>
  <si>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</si>
  <si>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</si>
  <si>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</si>
  <si>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</si>
  <si>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</si>
  <si>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</si>
  <si>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</si>
  <si>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</si>
  <si>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</si>
  <si>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</si>
  <si>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</si>
  <si>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</si>
  <si>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</si>
  <si>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</si>
  <si>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</si>
  <si>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</si>
  <si>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</si>
  <si>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</si>
  <si>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</si>
  <si>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</si>
  <si>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</si>
  <si>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</si>
  <si>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</si>
  <si>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</si>
  <si>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</si>
  <si>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</si>
  <si>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</si>
  <si>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</si>
  <si>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</si>
  <si>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</si>
  <si>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</si>
  <si>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</si>
  <si>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</si>
  <si>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</si>
  <si>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</si>
  <si>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</si>
  <si>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</si>
  <si>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</si>
  <si>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</si>
  <si>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</si>
  <si>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</si>
  <si>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</si>
  <si>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</si>
  <si>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</si>
  <si>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</si>
  <si>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</si>
  <si>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</si>
  <si>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</si>
  <si>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</si>
  <si>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</si>
  <si>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</si>
  <si>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</si>
  <si>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</si>
  <si>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</si>
  <si>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</si>
  <si>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</si>
  <si>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</si>
  <si>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</si>
  <si>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</si>
  <si>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</si>
  <si>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</si>
  <si>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</si>
  <si>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</si>
  <si>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</si>
  <si>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</si>
  <si>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</si>
  <si>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</si>
  <si>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</si>
  <si>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</si>
  <si>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</si>
  <si>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</si>
  <si>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</si>
  <si>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</si>
  <si>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</si>
  <si>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</si>
  <si>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</si>
  <si>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</si>
  <si>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</si>
  <si>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</si>
  <si>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</si>
  <si>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</si>
  <si>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</si>
  <si>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</si>
  <si>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</si>
  <si>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</si>
  <si>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</si>
  <si>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</si>
  <si>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</si>
  <si>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</si>
  <si>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</si>
  <si>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</si>
  <si>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</si>
  <si>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</si>
  <si>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</si>
  <si>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</si>
  <si>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</si>
  <si>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</si>
  <si>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</si>
  <si>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</si>
  <si>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</si>
  <si>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</si>
  <si>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</si>
  <si>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</si>
  <si>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</si>
  <si>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</si>
  <si>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</si>
  <si>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</si>
  <si>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</si>
  <si>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</si>
  <si>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</si>
  <si>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</si>
  <si>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</si>
  <si>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</si>
  <si>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</si>
  <si>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</si>
  <si>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</si>
  <si>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</si>
  <si>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</si>
  <si>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</si>
  <si>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</si>
  <si>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</si>
  <si>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</si>
  <si>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</si>
  <si>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</si>
  <si>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</si>
  <si>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</si>
  <si>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</si>
  <si>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</si>
  <si>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</si>
  <si>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</si>
  <si>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</si>
  <si>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</si>
  <si>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</si>
  <si>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</si>
  <si>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</si>
  <si>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</si>
  <si>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</si>
  <si>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</si>
  <si>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</si>
  <si>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</si>
  <si>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</si>
  <si>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</si>
  <si>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</si>
  <si>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</si>
  <si>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</si>
  <si>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</si>
  <si>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</si>
  <si>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</si>
  <si>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</si>
  <si>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</si>
  <si>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</si>
  <si>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</si>
  <si>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</si>
  <si>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</si>
  <si>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</si>
  <si>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</si>
  <si>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</si>
  <si>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</si>
  <si>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</si>
  <si>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</si>
  <si>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</si>
  <si>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</si>
  <si>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</si>
  <si>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</si>
  <si>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13-12-2006 00:00:00</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</si>
  <si>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</si>
  <si>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</si>
  <si>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</si>
  <si>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</si>
  <si>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</si>
  <si>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</si>
  <si>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</si>
  <si>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</si>
  <si>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</si>
  <si>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</si>
  <si>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</si>
  <si>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</si>
  <si>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</si>
  <si>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</si>
  <si>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</si>
  <si>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</si>
  <si>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</si>
  <si>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</si>
  <si>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</si>
  <si>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</si>
  <si>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</si>
  <si>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</si>
  <si>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</si>
  <si>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</si>
  <si>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</si>
  <si>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</si>
  <si>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</si>
  <si>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</si>
  <si>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</si>
  <si>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</si>
  <si>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</si>
  <si>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</si>
  <si>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</si>
  <si>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</si>
  <si>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</si>
  <si>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</si>
  <si>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</si>
  <si>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</si>
  <si>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</si>
  <si>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</si>
  <si>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</si>
  <si>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</si>
  <si>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</si>
  <si>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26508783</t>
  </si>
  <si>
    <t>АО "КОМЗ"</t>
  </si>
  <si>
    <t>1660004229</t>
  </si>
  <si>
    <t>166001001</t>
  </si>
  <si>
    <t>26406031</t>
  </si>
  <si>
    <t>АО "Казанский жировой комбинат"</t>
  </si>
  <si>
    <t>1624004583</t>
  </si>
  <si>
    <t>162401001</t>
  </si>
  <si>
    <t>26322530</t>
  </si>
  <si>
    <t>АО "Казанькомпрессормаш"</t>
  </si>
  <si>
    <t>1660004878</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</si>
  <si>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</si>
  <si>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</si>
  <si>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</si>
  <si>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</si>
  <si>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</si>
  <si>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</si>
  <si>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</si>
  <si>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</si>
  <si>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</si>
  <si>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</si>
  <si>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</si>
  <si>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</si>
  <si>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</si>
  <si>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</si>
  <si>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162601001</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</si>
  <si>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</si>
  <si>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</si>
  <si>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</si>
  <si>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</si>
  <si>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</si>
  <si>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</si>
  <si>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</si>
  <si>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</si>
  <si>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</si>
  <si>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</si>
  <si>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</si>
  <si>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</si>
  <si>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</si>
  <si>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168150001</t>
  </si>
  <si>
    <t>26354356</t>
  </si>
  <si>
    <t>АО "Нурлатские тепловые сети"</t>
  </si>
  <si>
    <t>1632009786</t>
  </si>
  <si>
    <t>163201001</t>
  </si>
  <si>
    <t>30353826</t>
  </si>
  <si>
    <t>АО "ОЭЗ "Иннополис"</t>
  </si>
  <si>
    <t>1655265698</t>
  </si>
  <si>
    <t>161501001</t>
  </si>
  <si>
    <t>27908518</t>
  </si>
  <si>
    <t>АО "ПОЗиС</t>
  </si>
  <si>
    <t>1648032420</t>
  </si>
  <si>
    <t>19-12-2011 00:00:00</t>
  </si>
  <si>
    <t>27556424</t>
  </si>
  <si>
    <t>АО "РПО "Таткоммунэнерго"</t>
  </si>
  <si>
    <t>1660093204</t>
  </si>
  <si>
    <t>168601001</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</si>
  <si>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</si>
  <si>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</si>
  <si>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</si>
  <si>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</si>
  <si>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</si>
  <si>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</si>
  <si>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</si>
  <si>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</si>
  <si>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</si>
  <si>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</si>
  <si>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</si>
  <si>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</si>
  <si>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</si>
  <si>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12-10-2005 00:00:00</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</si>
  <si>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</si>
  <si>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</si>
  <si>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</si>
  <si>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</si>
  <si>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</si>
  <si>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</si>
  <si>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</si>
  <si>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</si>
  <si>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</si>
  <si>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</si>
  <si>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</si>
  <si>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</si>
  <si>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</si>
  <si>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</si>
  <si>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</si>
  <si>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</si>
  <si>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</si>
  <si>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</si>
  <si>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31711565</t>
  </si>
  <si>
    <t>АО "Химград"</t>
  </si>
  <si>
    <t>1658098188</t>
  </si>
  <si>
    <t>165801001</t>
  </si>
  <si>
    <t>26354360</t>
  </si>
  <si>
    <t>АО "Шеморданское МПП ЖКХ Сабинского района"</t>
  </si>
  <si>
    <t>1635005684</t>
  </si>
  <si>
    <t>28822219</t>
  </si>
  <si>
    <t>Акционерное общество  "Энергоцентр "Майский" (АО "ЭЦМ")</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</si>
  <si>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</si>
  <si>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</si>
  <si>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</si>
  <si>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</si>
  <si>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</si>
  <si>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</si>
  <si>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</si>
  <si>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</si>
  <si>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</si>
  <si>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</si>
  <si>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</si>
  <si>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</si>
  <si>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</si>
  <si>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</si>
  <si>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</si>
  <si>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</si>
  <si>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</si>
  <si>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</si>
  <si>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ГОСУДАРСТВЕННЫЙ КОМИТЕТ РЕСПУБЛИКИ ТАТАРСТАН ПО ТАРИФАМ</t>
  </si>
  <si>
    <t>1655200443</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</si>
  <si>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</si>
  <si>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</si>
  <si>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</si>
  <si>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</si>
  <si>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</si>
  <si>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</si>
  <si>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</si>
  <si>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</si>
  <si>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</si>
  <si>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</si>
  <si>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</si>
  <si>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</si>
  <si>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</si>
  <si>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</si>
  <si>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</si>
  <si>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</si>
  <si>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</si>
  <si>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</si>
  <si>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</si>
  <si>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</si>
  <si>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</si>
  <si>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</si>
  <si>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</si>
  <si>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</si>
  <si>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</si>
  <si>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</si>
  <si>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</si>
  <si>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</si>
  <si>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</si>
  <si>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</si>
  <si>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</si>
  <si>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</si>
  <si>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</si>
  <si>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</si>
  <si>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</si>
  <si>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</si>
  <si>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</si>
  <si>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</si>
  <si>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</si>
  <si>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</si>
  <si>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</si>
  <si>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</si>
  <si>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</si>
  <si>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</si>
  <si>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</si>
  <si>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</si>
  <si>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</si>
  <si>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</si>
  <si>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</si>
  <si>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</si>
  <si>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</si>
  <si>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</si>
  <si>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</si>
  <si>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</si>
  <si>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31503625</t>
  </si>
  <si>
    <t>МКП "Водоканал"</t>
  </si>
  <si>
    <t>1651088938</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</si>
  <si>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</si>
  <si>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</si>
  <si>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</si>
  <si>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</si>
  <si>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</si>
  <si>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</si>
  <si>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</si>
  <si>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</si>
  <si>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</si>
  <si>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</si>
  <si>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</si>
  <si>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</si>
  <si>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</si>
  <si>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</si>
  <si>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</si>
  <si>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</si>
  <si>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</si>
  <si>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</si>
  <si>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</si>
  <si>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</si>
  <si>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</si>
  <si>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</si>
  <si>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</si>
  <si>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</si>
  <si>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</si>
  <si>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</si>
  <si>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</si>
  <si>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</si>
  <si>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</si>
  <si>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</si>
  <si>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</si>
  <si>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</si>
  <si>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</si>
  <si>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</si>
  <si>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</si>
  <si>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</si>
  <si>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</si>
  <si>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</si>
  <si>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</si>
  <si>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</si>
  <si>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28284276</t>
  </si>
  <si>
    <t>МУП "Управление строительства Агрызского муниципального района"</t>
  </si>
  <si>
    <t>1601008662</t>
  </si>
  <si>
    <t>160101001</t>
  </si>
  <si>
    <t>19-12-2012 00:00:00</t>
  </si>
  <si>
    <t>27840693</t>
  </si>
  <si>
    <t>МУП "Уют"</t>
  </si>
  <si>
    <t>1622006909</t>
  </si>
  <si>
    <t>11-03-2012 00:00:00</t>
  </si>
  <si>
    <t>26807712</t>
  </si>
  <si>
    <t>Набережночелнинская ТЭЦ - филиал АО "Татэнерго"</t>
  </si>
  <si>
    <t>165002002</t>
  </si>
  <si>
    <t>28449529</t>
  </si>
  <si>
    <t>Нижнекамская ТЭЦ (ПТК-1) -филиал 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</si>
  <si>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</si>
  <si>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</si>
  <si>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</si>
  <si>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</si>
  <si>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</si>
  <si>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</si>
  <si>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</si>
  <si>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</si>
  <si>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</si>
  <si>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</si>
  <si>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</si>
  <si>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</si>
  <si>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</si>
  <si>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</si>
  <si>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</si>
  <si>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</si>
  <si>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</si>
  <si>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</si>
  <si>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</si>
  <si>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</si>
  <si>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</si>
  <si>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</si>
  <si>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</si>
  <si>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</si>
  <si>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</si>
  <si>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</si>
  <si>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</si>
  <si>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</si>
  <si>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</si>
  <si>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</si>
  <si>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</si>
  <si>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</si>
  <si>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</si>
  <si>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</si>
  <si>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</si>
  <si>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</si>
  <si>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</si>
  <si>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</si>
  <si>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</si>
  <si>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</si>
  <si>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</si>
  <si>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</si>
  <si>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</si>
  <si>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</si>
  <si>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</si>
  <si>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</si>
  <si>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</si>
  <si>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</si>
  <si>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</si>
  <si>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</si>
  <si>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</si>
  <si>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</si>
  <si>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</si>
  <si>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</si>
  <si>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</si>
  <si>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</si>
  <si>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</si>
  <si>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</si>
  <si>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</si>
  <si>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</si>
  <si>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</si>
  <si>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</si>
  <si>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</si>
  <si>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</si>
  <si>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</si>
  <si>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31461172</t>
  </si>
  <si>
    <t>ООО "ГазТеплоАвтоматика"</t>
  </si>
  <si>
    <t>1636008078</t>
  </si>
  <si>
    <t>04-03-2020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</si>
  <si>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</si>
  <si>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</si>
  <si>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</si>
  <si>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</si>
  <si>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</si>
  <si>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</si>
  <si>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</si>
  <si>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</si>
  <si>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</si>
  <si>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</si>
  <si>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</si>
  <si>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</si>
  <si>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</si>
  <si>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</si>
  <si>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</si>
  <si>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</si>
  <si>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</si>
  <si>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</si>
  <si>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</si>
  <si>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</si>
  <si>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</si>
  <si>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</si>
  <si>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</si>
  <si>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</si>
  <si>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</si>
  <si>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</si>
  <si>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</si>
  <si>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</si>
  <si>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165001001</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</si>
  <si>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</si>
  <si>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</si>
  <si>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</si>
  <si>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</si>
  <si>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</si>
  <si>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</si>
  <si>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</si>
  <si>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</si>
  <si>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</si>
  <si>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</si>
  <si>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</si>
  <si>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</si>
  <si>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</si>
  <si>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168401001</t>
  </si>
  <si>
    <t>30940313</t>
  </si>
  <si>
    <t>ООО "Казанский молочный комбинат"</t>
  </si>
  <si>
    <t>1660297582</t>
  </si>
  <si>
    <t>31560472</t>
  </si>
  <si>
    <t>ООО "Казэнергоцентр"</t>
  </si>
  <si>
    <t>1655282333</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</si>
  <si>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</si>
  <si>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</si>
  <si>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</si>
  <si>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</si>
  <si>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</si>
  <si>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</si>
  <si>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</si>
  <si>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</si>
  <si>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</si>
  <si>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</si>
  <si>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</si>
  <si>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</si>
  <si>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</si>
  <si>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</si>
  <si>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</si>
  <si>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</si>
  <si>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</si>
  <si>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</si>
  <si>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</si>
  <si>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</si>
  <si>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</si>
  <si>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</si>
  <si>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161901001</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</si>
  <si>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</si>
  <si>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</si>
  <si>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</si>
  <si>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</si>
  <si>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</si>
  <si>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</si>
  <si>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</si>
  <si>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</si>
  <si>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</si>
  <si>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</si>
  <si>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</si>
  <si>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</si>
  <si>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</si>
  <si>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</si>
  <si>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</si>
  <si>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</si>
  <si>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</si>
  <si>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</si>
  <si>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</si>
  <si>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</si>
  <si>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</si>
  <si>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</si>
  <si>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</si>
  <si>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</si>
  <si>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</si>
  <si>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</si>
  <si>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</si>
  <si>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</si>
  <si>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</si>
  <si>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</si>
  <si>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</si>
  <si>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</si>
  <si>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</si>
  <si>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</si>
  <si>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</si>
  <si>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</si>
  <si>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</si>
  <si>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</si>
  <si>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</si>
  <si>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</si>
  <si>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</si>
  <si>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</si>
  <si>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</si>
  <si>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</si>
  <si>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31439881</t>
  </si>
  <si>
    <t>ООО "РегНефтеТорг-7"</t>
  </si>
  <si>
    <t>1655398641</t>
  </si>
  <si>
    <t>14-02-2018 00:00:00</t>
  </si>
  <si>
    <t>31243870</t>
  </si>
  <si>
    <t>ООО "СК-16"</t>
  </si>
  <si>
    <t>1658159338</t>
  </si>
  <si>
    <t>01-10-2014 00:00:00</t>
  </si>
  <si>
    <t>26354446</t>
  </si>
  <si>
    <t>ООО "СКП "Татнефть-Ак Барс"</t>
  </si>
  <si>
    <t>1655085014</t>
  </si>
  <si>
    <t>31594265</t>
  </si>
  <si>
    <t>ООО "СМУ-ТЕХСТРОЙ"</t>
  </si>
  <si>
    <t>1661040854</t>
  </si>
  <si>
    <t>31423166</t>
  </si>
  <si>
    <t>ООО "СТК КОМПЛЕКТ"</t>
  </si>
  <si>
    <t>1659188444</t>
  </si>
  <si>
    <t>12-02-2018 00:00:00</t>
  </si>
  <si>
    <t>31633518</t>
  </si>
  <si>
    <t>ООО "СмартРесурс"</t>
  </si>
  <si>
    <t>1655406532</t>
  </si>
  <si>
    <t>26354364</t>
  </si>
  <si>
    <t>ООО "Спасские коммунальные сети"</t>
  </si>
  <si>
    <t>1637005369</t>
  </si>
  <si>
    <t>163701001</t>
  </si>
  <si>
    <t>31608077</t>
  </si>
  <si>
    <t>ООО "Строймастер"</t>
  </si>
  <si>
    <t>1684003288</t>
  </si>
  <si>
    <t>31509043</t>
  </si>
  <si>
    <t>ООО "ТГ"</t>
  </si>
  <si>
    <t>1659216451</t>
  </si>
  <si>
    <t>31317287</t>
  </si>
  <si>
    <t>ООО "ТЕПЛОГАРАНТ"</t>
  </si>
  <si>
    <t>1655418400</t>
  </si>
  <si>
    <t>31293680</t>
  </si>
  <si>
    <t>ООО "ТТК"</t>
  </si>
  <si>
    <t>1659186172</t>
  </si>
  <si>
    <t>31558293</t>
  </si>
  <si>
    <t>ООО "ТаграС-ЭнергоСервис"</t>
  </si>
  <si>
    <t>1644031472</t>
  </si>
  <si>
    <t>31060076</t>
  </si>
  <si>
    <t>ООО "Татинтек"</t>
  </si>
  <si>
    <t>1644055843</t>
  </si>
  <si>
    <t>31458245</t>
  </si>
  <si>
    <t>ООО "Тепло"</t>
  </si>
  <si>
    <t>1656109973</t>
  </si>
  <si>
    <t>26354324</t>
  </si>
  <si>
    <t>ООО "Тепло-Сервис"</t>
  </si>
  <si>
    <t>1609010695</t>
  </si>
  <si>
    <t>28423143</t>
  </si>
  <si>
    <t>ООО "Тепло-Энергосервис+"</t>
  </si>
  <si>
    <t>1644067711</t>
  </si>
  <si>
    <t>31715942</t>
  </si>
  <si>
    <t>ООО "ТеплоЦентр"</t>
  </si>
  <si>
    <t>1655496328</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</si>
  <si>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</si>
  <si>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</si>
  <si>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</si>
  <si>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</si>
  <si>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</si>
  <si>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</si>
  <si>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</si>
  <si>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</si>
  <si>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</si>
  <si>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</si>
  <si>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</si>
  <si>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</si>
  <si>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</si>
  <si>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</si>
  <si>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</si>
  <si>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</si>
  <si>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</si>
  <si>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</si>
  <si>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</si>
  <si>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</si>
  <si>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</si>
  <si>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</si>
  <si>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</si>
  <si>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</si>
  <si>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</si>
  <si>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</si>
  <si>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</si>
  <si>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</si>
  <si>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</si>
  <si>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</si>
  <si>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</si>
  <si>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28266282</t>
  </si>
  <si>
    <t>ООО "Теплоснабсервис"</t>
  </si>
  <si>
    <t>1655256968</t>
  </si>
  <si>
    <t>31628080</t>
  </si>
  <si>
    <t>ООО "ТрансЭнерго"</t>
  </si>
  <si>
    <t>1683008413</t>
  </si>
  <si>
    <t>168301001</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</si>
  <si>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</si>
  <si>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</si>
  <si>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</si>
  <si>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</si>
  <si>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</si>
  <si>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</si>
  <si>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</si>
  <si>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</si>
  <si>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</si>
  <si>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</si>
  <si>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</si>
  <si>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</si>
  <si>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</si>
  <si>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</si>
  <si>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</si>
  <si>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</si>
  <si>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</si>
  <si>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</si>
  <si>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</si>
  <si>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</si>
  <si>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</si>
  <si>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</si>
  <si>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</si>
  <si>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</si>
  <si>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</si>
  <si>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</si>
  <si>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</si>
  <si>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</si>
  <si>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</si>
  <si>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</si>
  <si>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</si>
  <si>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</si>
  <si>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</si>
  <si>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</si>
  <si>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</si>
  <si>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</si>
  <si>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</si>
  <si>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</si>
  <si>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</si>
  <si>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</si>
  <si>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</si>
  <si>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</si>
  <si>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</si>
  <si>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</si>
  <si>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</si>
  <si>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</si>
  <si>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</si>
  <si>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</si>
  <si>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</si>
  <si>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</si>
  <si>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</si>
  <si>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</si>
  <si>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</si>
  <si>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</si>
  <si>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31605557</t>
  </si>
  <si>
    <t>ООО УК "ВМ-Сервис"</t>
  </si>
  <si>
    <t>1639060573</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</si>
  <si>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</si>
  <si>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</si>
  <si>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</si>
  <si>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</si>
  <si>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</si>
  <si>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</si>
  <si>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</si>
  <si>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</si>
  <si>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</si>
  <si>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</si>
  <si>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</si>
  <si>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</si>
  <si>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</si>
  <si>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</si>
  <si>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</si>
  <si>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</si>
  <si>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</si>
  <si>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</si>
  <si>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</si>
  <si>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</si>
  <si>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</si>
  <si>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</si>
  <si>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</si>
  <si>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</si>
  <si>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</si>
  <si>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</si>
  <si>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</si>
  <si>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</si>
  <si>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</si>
  <si>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</si>
  <si>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</si>
  <si>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</si>
  <si>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</si>
  <si>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</si>
  <si>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</si>
  <si>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</si>
  <si>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</si>
  <si>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</si>
  <si>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</si>
  <si>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</si>
  <si>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</si>
  <si>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</si>
  <si>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</si>
  <si>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</si>
  <si>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</si>
  <si>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</si>
  <si>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</si>
  <si>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</si>
  <si>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</si>
  <si>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</si>
  <si>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</si>
  <si>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</si>
  <si>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</si>
  <si>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</si>
  <si>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</si>
  <si>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</si>
  <si>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</si>
  <si>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</si>
  <si>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</si>
  <si>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</si>
  <si>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</si>
  <si>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</si>
  <si>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30943126</t>
  </si>
  <si>
    <t>ООО "Газпром трансгаз Казань" - филиал Верхнеуслонский район</t>
  </si>
  <si>
    <t>166001002</t>
  </si>
  <si>
    <t>30943118</t>
  </si>
  <si>
    <t>ООО "Газпром трансгаз Казань" - филиал Сабинский район</t>
  </si>
  <si>
    <t>166001000</t>
  </si>
  <si>
    <t>30941880</t>
  </si>
  <si>
    <t>Филиал ОАО "Азнакаевское ПТС" в г.Азнакаево</t>
  </si>
  <si>
    <t>164301002</t>
  </si>
  <si>
    <t>30941853</t>
  </si>
  <si>
    <t>Филиал ОАО "Азнакаевское ПТС" в пгт.Актюбинский</t>
  </si>
  <si>
    <t>164301000</t>
  </si>
  <si>
    <t>30941901</t>
  </si>
  <si>
    <t>Филиал ОАО "Азнакаевское ПТС" в пгт.Джалиль</t>
  </si>
  <si>
    <t>164301003</t>
  </si>
  <si>
    <t>26402601</t>
  </si>
  <si>
    <t>АО "Альметьевск-Водоканал"</t>
  </si>
  <si>
    <t>1644034674</t>
  </si>
  <si>
    <t>28868827</t>
  </si>
  <si>
    <t>АО "Буинск-Водоканал"</t>
  </si>
  <si>
    <t>1614007578</t>
  </si>
  <si>
    <t>29645570</t>
  </si>
  <si>
    <t>АО "ЗВКС"</t>
  </si>
  <si>
    <t>1648041104</t>
  </si>
  <si>
    <t>30906854</t>
  </si>
  <si>
    <t>АО "Кузембетьевский РМЗ"</t>
  </si>
  <si>
    <t>1628000773</t>
  </si>
  <si>
    <t>26405831</t>
  </si>
  <si>
    <t>АО "Мамадышский водоканал"</t>
  </si>
  <si>
    <t>1626008223</t>
  </si>
  <si>
    <t>26405842</t>
  </si>
  <si>
    <t>АО "СОВ-НКНХ"</t>
  </si>
  <si>
    <t>1651052730</t>
  </si>
  <si>
    <t>26405861</t>
  </si>
  <si>
    <t>АО "Тетюши-водоканал"</t>
  </si>
  <si>
    <t>1638004833</t>
  </si>
  <si>
    <t>28932690</t>
  </si>
  <si>
    <t>АО "Чистополь-Водоканал"</t>
  </si>
  <si>
    <t>1652022810</t>
  </si>
  <si>
    <t>26508701</t>
  </si>
  <si>
    <t>ИП Зарипов Н.Г.</t>
  </si>
  <si>
    <t>163100024393</t>
  </si>
  <si>
    <t>30894265</t>
  </si>
  <si>
    <t>ИП Мордвин О. В.</t>
  </si>
  <si>
    <t>183504246637</t>
  </si>
  <si>
    <t>31336366</t>
  </si>
  <si>
    <t>ИП Порабкович Е.П.</t>
  </si>
  <si>
    <t>165042306350</t>
  </si>
  <si>
    <t>27995794</t>
  </si>
  <si>
    <t>КФХ "Козлова М.И."</t>
  </si>
  <si>
    <t>163100013225</t>
  </si>
  <si>
    <t>26804882</t>
  </si>
  <si>
    <t>Казанский филиал Акционерного общества "Девелоперская корпорация "Антей"</t>
  </si>
  <si>
    <t>5029087035</t>
  </si>
  <si>
    <t>163302001</t>
  </si>
  <si>
    <t>28827948</t>
  </si>
  <si>
    <t>МКП БМР "Водоканал"</t>
  </si>
  <si>
    <t>1611290182</t>
  </si>
  <si>
    <t>28507710</t>
  </si>
  <si>
    <t>МУП "Волжанка"</t>
  </si>
  <si>
    <t>1615007482</t>
  </si>
  <si>
    <t>27900153</t>
  </si>
  <si>
    <t>МУП "Елабужский Водоканал"</t>
  </si>
  <si>
    <t>1646033740</t>
  </si>
  <si>
    <t>16-10-2012 00:00:00</t>
  </si>
  <si>
    <t>26405916</t>
  </si>
  <si>
    <t>МУП "ЖКХ (Инженерные сети)"</t>
  </si>
  <si>
    <t>1644045186</t>
  </si>
  <si>
    <t>31442475</t>
  </si>
  <si>
    <t>МУП "Коммунсервис"</t>
  </si>
  <si>
    <t>1604011286</t>
  </si>
  <si>
    <t>30991684</t>
  </si>
  <si>
    <t>МУП "Новошешминское ЖКХ"</t>
  </si>
  <si>
    <t>1631009663</t>
  </si>
  <si>
    <t>31004867</t>
  </si>
  <si>
    <t>МУП "Перспектива"</t>
  </si>
  <si>
    <t>1617005900</t>
  </si>
  <si>
    <t>26405741</t>
  </si>
  <si>
    <t>ОАО "Алексеевскводоканал"</t>
  </si>
  <si>
    <t>1605004556</t>
  </si>
  <si>
    <t>27796151</t>
  </si>
  <si>
    <t>ОАО "Ипотечное агентство Республики Татарстан"</t>
  </si>
  <si>
    <t>1655071678</t>
  </si>
  <si>
    <t>27568731</t>
  </si>
  <si>
    <t>ОАО "Казанский завод синтетического каучука"</t>
  </si>
  <si>
    <t>1659032038</t>
  </si>
  <si>
    <t>11-01-2012 00:00:00</t>
  </si>
  <si>
    <t>26405859</t>
  </si>
  <si>
    <t>ОАО "Масловский"</t>
  </si>
  <si>
    <t>1634003860</t>
  </si>
  <si>
    <t>27773250</t>
  </si>
  <si>
    <t>ОАО "Управление капитального строительства инженерных сетей и развития энергосберегающих технологий Республики Татарстан"</t>
  </si>
  <si>
    <t>1655229717</t>
  </si>
  <si>
    <t>28507936</t>
  </si>
  <si>
    <t>ОАО им.Н.Е.Токарликова</t>
  </si>
  <si>
    <t>1607000853</t>
  </si>
  <si>
    <t>26405759</t>
  </si>
  <si>
    <t>ООО " Водоканал"</t>
  </si>
  <si>
    <t>1601005735</t>
  </si>
  <si>
    <t>05-05-2007 00:00:00</t>
  </si>
  <si>
    <t>30345894</t>
  </si>
  <si>
    <t>ООО "АКВАСНАБ"</t>
  </si>
  <si>
    <t>1633608542</t>
  </si>
  <si>
    <t>26405995</t>
  </si>
  <si>
    <t>ООО "Айзат"</t>
  </si>
  <si>
    <t>1644046574</t>
  </si>
  <si>
    <t>27018980</t>
  </si>
  <si>
    <t>ООО "Алькеевские Коммунальные сети"</t>
  </si>
  <si>
    <t>1606006531</t>
  </si>
  <si>
    <t>160601001</t>
  </si>
  <si>
    <t>10-06-2011 00:00:00</t>
  </si>
  <si>
    <t>26405803</t>
  </si>
  <si>
    <t>ООО "Бирюлинские коммунальные сети"</t>
  </si>
  <si>
    <t>1616018261</t>
  </si>
  <si>
    <t>31696334</t>
  </si>
  <si>
    <t>ООО "Благоустройство П.Ковали"</t>
  </si>
  <si>
    <t>1624009060</t>
  </si>
  <si>
    <t>26405778</t>
  </si>
  <si>
    <t>ООО "Бугульма-Водоканал"</t>
  </si>
  <si>
    <t>1645016886</t>
  </si>
  <si>
    <t>31508002</t>
  </si>
  <si>
    <t>ООО "В-Сервис"</t>
  </si>
  <si>
    <t>1660364599</t>
  </si>
  <si>
    <t>31423889</t>
  </si>
  <si>
    <t>ООО "ВОДОКАНАЛ-НКП"</t>
  </si>
  <si>
    <t>1651087170</t>
  </si>
  <si>
    <t>27-05-2020 00:00:00</t>
  </si>
  <si>
    <t>28261165</t>
  </si>
  <si>
    <t>ООО "Вода района"</t>
  </si>
  <si>
    <t>1649020837</t>
  </si>
  <si>
    <t>09-08-2013 00:00:00</t>
  </si>
  <si>
    <t>31355277</t>
  </si>
  <si>
    <t>ООО "Водоканал Сервис"</t>
  </si>
  <si>
    <t>1648050860</t>
  </si>
  <si>
    <t>26405897</t>
  </si>
  <si>
    <t>ООО "Водоканал"</t>
  </si>
  <si>
    <t>1605005091</t>
  </si>
  <si>
    <t>28449361</t>
  </si>
  <si>
    <t>1649021125</t>
  </si>
  <si>
    <t>31734215</t>
  </si>
  <si>
    <t>1686034669</t>
  </si>
  <si>
    <t>26405775</t>
  </si>
  <si>
    <t>ООО "Водоканал-Сервис"</t>
  </si>
  <si>
    <t>1609010800</t>
  </si>
  <si>
    <t>31681507</t>
  </si>
  <si>
    <t>ООО "Водопроводные и канализационные системы"</t>
  </si>
  <si>
    <t>1684012074</t>
  </si>
  <si>
    <t>26863745</t>
  </si>
  <si>
    <t>ООО "ГидроСервис"</t>
  </si>
  <si>
    <t>1604008847</t>
  </si>
  <si>
    <t>26405922</t>
  </si>
  <si>
    <t>ООО "ЖКПСП "Инфосервис"</t>
  </si>
  <si>
    <t>1644037957</t>
  </si>
  <si>
    <t>26402598</t>
  </si>
  <si>
    <t>ООО "ЖКХ-Миннибаево"</t>
  </si>
  <si>
    <t>1644042266</t>
  </si>
  <si>
    <t>26405773</t>
  </si>
  <si>
    <t>ООО "ЖилКомСервис"</t>
  </si>
  <si>
    <t>1608007192</t>
  </si>
  <si>
    <t>160801001</t>
  </si>
  <si>
    <t>26509740</t>
  </si>
  <si>
    <t>ООО "Жилбыт"</t>
  </si>
  <si>
    <t>1633606697</t>
  </si>
  <si>
    <t>28975173</t>
  </si>
  <si>
    <t>ООО "Заинский Водоканал"</t>
  </si>
  <si>
    <t>1647016930</t>
  </si>
  <si>
    <t>31576411</t>
  </si>
  <si>
    <t>ООО "Инженерные коммуникации"</t>
  </si>
  <si>
    <t>1646049644</t>
  </si>
  <si>
    <t>29-10-2021 00:00:00</t>
  </si>
  <si>
    <t>26406312</t>
  </si>
  <si>
    <t>ООО "КФХ" Архангельское"</t>
  </si>
  <si>
    <t>1631004111</t>
  </si>
  <si>
    <t>28508752</t>
  </si>
  <si>
    <t>ООО "КЭСП"</t>
  </si>
  <si>
    <t>1651037732</t>
  </si>
  <si>
    <t>31623374</t>
  </si>
  <si>
    <t>ООО "Коммунальные ресурсы"</t>
  </si>
  <si>
    <t>1616030460</t>
  </si>
  <si>
    <t>26791391</t>
  </si>
  <si>
    <t>ООО "Коммунальные сети - Круглое Поле"</t>
  </si>
  <si>
    <t>1639044500</t>
  </si>
  <si>
    <t>27830961</t>
  </si>
  <si>
    <t>ООО "Куркачинские сети"</t>
  </si>
  <si>
    <t>1616022290</t>
  </si>
  <si>
    <t>04-06-2012 00:00:00</t>
  </si>
  <si>
    <t>28466743</t>
  </si>
  <si>
    <t>ООО "МКД Сервис"</t>
  </si>
  <si>
    <t>1648037193</t>
  </si>
  <si>
    <t>31475446</t>
  </si>
  <si>
    <t>ООО "Мензелинская управляющая компания"</t>
  </si>
  <si>
    <t>1628009215</t>
  </si>
  <si>
    <t>29648308</t>
  </si>
  <si>
    <t>ООО "Плауэн"</t>
  </si>
  <si>
    <t>1656070050</t>
  </si>
  <si>
    <t>26508631</t>
  </si>
  <si>
    <t>ООО "Промочистка"</t>
  </si>
  <si>
    <t>1632010887</t>
  </si>
  <si>
    <t>01-01-2010 00:00:00</t>
  </si>
  <si>
    <t>30856907</t>
  </si>
  <si>
    <t>ООО "РСО "ЭКО"</t>
  </si>
  <si>
    <t>1633006837</t>
  </si>
  <si>
    <t>28821707</t>
  </si>
  <si>
    <t>ООО "Родник"</t>
  </si>
  <si>
    <t>1614012070</t>
  </si>
  <si>
    <t>31335952</t>
  </si>
  <si>
    <t>ООО "СКС"</t>
  </si>
  <si>
    <t>1624016892</t>
  </si>
  <si>
    <t>26641541</t>
  </si>
  <si>
    <t>ООО "Светводканал"</t>
  </si>
  <si>
    <t>1636006352</t>
  </si>
  <si>
    <t>30847450</t>
  </si>
  <si>
    <t>ООО "Спецтехника"</t>
  </si>
  <si>
    <t>1632016215</t>
  </si>
  <si>
    <t>30946055</t>
  </si>
  <si>
    <t>ООО "ТИС"</t>
  </si>
  <si>
    <t>1646038804</t>
  </si>
  <si>
    <t>31603712</t>
  </si>
  <si>
    <t>ООО "ТУГАН ЯК"</t>
  </si>
  <si>
    <t>1655362211</t>
  </si>
  <si>
    <t>31364662</t>
  </si>
  <si>
    <t>ООО "ТатСтройКа"</t>
  </si>
  <si>
    <t>1658147646</t>
  </si>
  <si>
    <t>31434101</t>
  </si>
  <si>
    <t>ООО "Тихоново-сервис"</t>
  </si>
  <si>
    <t>1627017911</t>
  </si>
  <si>
    <t>28823340</t>
  </si>
  <si>
    <t>ООО "Тукаевский водоканал"</t>
  </si>
  <si>
    <t>1639046811</t>
  </si>
  <si>
    <t>30855382</t>
  </si>
  <si>
    <t>ООО "УК "Загородный клуб"</t>
  </si>
  <si>
    <t>1656069819</t>
  </si>
  <si>
    <t>28828635</t>
  </si>
  <si>
    <t>ООО "УК "Осиново"</t>
  </si>
  <si>
    <t>1648031152</t>
  </si>
  <si>
    <t>31354554</t>
  </si>
  <si>
    <t>ООО "УК "Созидание"</t>
  </si>
  <si>
    <t>1619005951</t>
  </si>
  <si>
    <t>27898303</t>
  </si>
  <si>
    <t>ООО "УПТЖ для ППД"</t>
  </si>
  <si>
    <t>1644066080</t>
  </si>
  <si>
    <t>27686388</t>
  </si>
  <si>
    <t>ООО "Управление"</t>
  </si>
  <si>
    <t>1612005455</t>
  </si>
  <si>
    <t>28794665</t>
  </si>
  <si>
    <t>ООО "Управляющая компания "Нефтяник"</t>
  </si>
  <si>
    <t>1645029349</t>
  </si>
  <si>
    <t>26405899</t>
  </si>
  <si>
    <t>ООО "Управляющая компания "Ореховка"</t>
  </si>
  <si>
    <t>1657075332</t>
  </si>
  <si>
    <t>31733912</t>
  </si>
  <si>
    <t>ООО "Управляющая компания "РОСА"</t>
  </si>
  <si>
    <t>1655495388</t>
  </si>
  <si>
    <t>31444763</t>
  </si>
  <si>
    <t>ООО "Управляющая компания "СМП-184"</t>
  </si>
  <si>
    <t>1601008711</t>
  </si>
  <si>
    <t>31337960</t>
  </si>
  <si>
    <t>ООО "Управляющая компания "Технополис "Новая Тура"</t>
  </si>
  <si>
    <t>1655228689</t>
  </si>
  <si>
    <t>27829636</t>
  </si>
  <si>
    <t>ООО "Уруссу-Водоканал"</t>
  </si>
  <si>
    <t>1642005741</t>
  </si>
  <si>
    <t>26491020</t>
  </si>
  <si>
    <t>ООО "Фирма "Никос  и Мария"</t>
  </si>
  <si>
    <t>1655031523</t>
  </si>
  <si>
    <t>27761259</t>
  </si>
  <si>
    <t>ООО "Центр обслуживания поселений"</t>
  </si>
  <si>
    <t>1626013174</t>
  </si>
  <si>
    <t>03-05-2012 00:00:00</t>
  </si>
  <si>
    <t>28857397</t>
  </si>
  <si>
    <t>ООО "Челныводоканал"</t>
  </si>
  <si>
    <t>1650297657</t>
  </si>
  <si>
    <t>01-12-2014 00:00:00</t>
  </si>
  <si>
    <t>28982561</t>
  </si>
  <si>
    <t>ООО "Чистая вода"</t>
  </si>
  <si>
    <t>1632008197</t>
  </si>
  <si>
    <t>27836210</t>
  </si>
  <si>
    <t>ООО "Чистопольское сельское жилищно-коммунальное хозяйство"</t>
  </si>
  <si>
    <t>1652020019</t>
  </si>
  <si>
    <t>03-08-2012 00:00:00</t>
  </si>
  <si>
    <t>31356515</t>
  </si>
  <si>
    <t>ООО "ШУНЫТ"</t>
  </si>
  <si>
    <t>1821014502</t>
  </si>
  <si>
    <t>182101001</t>
  </si>
  <si>
    <t>26402599</t>
  </si>
  <si>
    <t>ООО "Шанс"</t>
  </si>
  <si>
    <t>1644041921</t>
  </si>
  <si>
    <t>31336379</t>
  </si>
  <si>
    <t>ООО "Электрические сети"</t>
  </si>
  <si>
    <t>1660313890</t>
  </si>
  <si>
    <t>31166318</t>
  </si>
  <si>
    <t>ООО «Октябрьские инженерные сети»</t>
  </si>
  <si>
    <t>1648045740</t>
  </si>
  <si>
    <t>26407437</t>
  </si>
  <si>
    <t>ОСПК "Народное предприятие - Родная Земля"</t>
  </si>
  <si>
    <t>1646020155</t>
  </si>
  <si>
    <t>31300659</t>
  </si>
  <si>
    <t>Общество с ограниченной ответственностью "Районные Коммунальные Сети"</t>
  </si>
  <si>
    <t>1633007848</t>
  </si>
  <si>
    <t>28507852</t>
  </si>
  <si>
    <t>ПАО "Татнефть" им.В.Д.Шашина"</t>
  </si>
  <si>
    <t>1644003838</t>
  </si>
  <si>
    <t>164631002</t>
  </si>
  <si>
    <t>28096875</t>
  </si>
  <si>
    <t>Птицефабрика "Яратель" филиал ООО "Птицеводческий комплекс "Ак барс"</t>
  </si>
  <si>
    <t>1648022038</t>
  </si>
  <si>
    <t>162443001</t>
  </si>
  <si>
    <t>21-02-2013 00:00:00</t>
  </si>
  <si>
    <t>28968849</t>
  </si>
  <si>
    <t>ТСЖ "Апрель"</t>
  </si>
  <si>
    <t>1646032739</t>
  </si>
  <si>
    <t>26405869</t>
  </si>
  <si>
    <t>ТСЖ "Нефтебаза"</t>
  </si>
  <si>
    <t>1639025113</t>
  </si>
  <si>
    <t>28262238</t>
  </si>
  <si>
    <t>ТСЖ "Новая Тура"</t>
  </si>
  <si>
    <t>1648036496</t>
  </si>
  <si>
    <t>26453514</t>
  </si>
  <si>
    <t>ТСЖ "Тихоново-сервис"</t>
  </si>
  <si>
    <t>1627006483</t>
  </si>
  <si>
    <t>28272815</t>
  </si>
  <si>
    <t>Филиал "Спасский АО "УКС"</t>
  </si>
  <si>
    <t>163743001</t>
  </si>
  <si>
    <t>26322568</t>
  </si>
  <si>
    <t>АО "ПО ЕлАЗ"</t>
  </si>
  <si>
    <t>1646016818</t>
  </si>
  <si>
    <t>26322540</t>
  </si>
  <si>
    <t>АО "Химический завод им. Л.Я. Карпова"</t>
  </si>
  <si>
    <t>1627001703</t>
  </si>
  <si>
    <t>31043435</t>
  </si>
  <si>
    <t>МУП "Городское благоустройство"</t>
  </si>
  <si>
    <t>1656060502</t>
  </si>
  <si>
    <t>01-01-2017 00:00:00</t>
  </si>
  <si>
    <t>26405760</t>
  </si>
  <si>
    <t>ООО " Водоканалсервис"</t>
  </si>
  <si>
    <t>1601005326</t>
  </si>
  <si>
    <t>13-10-2003 00:00:00</t>
  </si>
  <si>
    <t>31421261</t>
  </si>
  <si>
    <t>ООО "ВолгаСтройСервис"</t>
  </si>
  <si>
    <t>1659190644</t>
  </si>
  <si>
    <t>31193178</t>
  </si>
  <si>
    <t>1606007126</t>
  </si>
  <si>
    <t>27-08-2018 00:00:00</t>
  </si>
  <si>
    <t>31317274</t>
  </si>
  <si>
    <t>ООО "Казжилстройсервис"</t>
  </si>
  <si>
    <t>1660062848</t>
  </si>
  <si>
    <t>30839588</t>
  </si>
  <si>
    <t>ООО "Коммунальный сервис"</t>
  </si>
  <si>
    <t>1624015296</t>
  </si>
  <si>
    <t>26756157</t>
  </si>
  <si>
    <t>ООО "Птицеводческий комплекс "Ак Барс"</t>
  </si>
  <si>
    <t>30870749</t>
  </si>
  <si>
    <t>ООО "СТОК"</t>
  </si>
  <si>
    <t>1623013666</t>
  </si>
  <si>
    <t>28446111</t>
  </si>
  <si>
    <t>филиал ООО "Азбука сыра" " Мамадышский завод"</t>
  </si>
  <si>
    <t>1660183627</t>
  </si>
  <si>
    <t>26402611</t>
  </si>
  <si>
    <t>АО "ДЖКХ (Благоустройство)"</t>
  </si>
  <si>
    <t>1636005831</t>
  </si>
  <si>
    <t>26405772</t>
  </si>
  <si>
    <t>АО "Экосервис"</t>
  </si>
  <si>
    <t>1644037227</t>
  </si>
  <si>
    <t>31366664</t>
  </si>
  <si>
    <t>ИП Насыбуллин Р.Ф.</t>
  </si>
  <si>
    <t>165700765608</t>
  </si>
  <si>
    <t>26405821</t>
  </si>
  <si>
    <t>ИП Шакиров Ришат Фаритович</t>
  </si>
  <si>
    <t>164704581705</t>
  </si>
  <si>
    <t>31269923</t>
  </si>
  <si>
    <t>Индивидуальный предприниматель Хикматуллин Р.Т.</t>
  </si>
  <si>
    <t>162100918208</t>
  </si>
  <si>
    <t>31772668</t>
  </si>
  <si>
    <t>МБУ "УПРАВЛЕНИЕ ПО БЛАГОУСТРОЙСТВУ И ОЗЕЛЕНЕНИЮ" БМР РТ</t>
  </si>
  <si>
    <t>1644107851</t>
  </si>
  <si>
    <t>31366672</t>
  </si>
  <si>
    <t>МУП ДРЭУ Кировского р-на г.Казани</t>
  </si>
  <si>
    <t>1656020500</t>
  </si>
  <si>
    <t>31366689</t>
  </si>
  <si>
    <t>МУП трест Горводзеленхоз</t>
  </si>
  <si>
    <t>1653012250</t>
  </si>
  <si>
    <t>26405800</t>
  </si>
  <si>
    <t>ОАО "Буинское МПП ЖКХ" (Инженерные сети)</t>
  </si>
  <si>
    <t>1614007592</t>
  </si>
  <si>
    <t>31766135</t>
  </si>
  <si>
    <t>ООО "Актанышский полигон ТБО"</t>
  </si>
  <si>
    <t>1674010180</t>
  </si>
  <si>
    <t>167401001</t>
  </si>
  <si>
    <t>30901456</t>
  </si>
  <si>
    <t>ООО "Благоустройство и Озеленение"</t>
  </si>
  <si>
    <t>1649036555</t>
  </si>
  <si>
    <t>26412356</t>
  </si>
  <si>
    <t>ООО "Благоустройство"</t>
  </si>
  <si>
    <t>1603005755</t>
  </si>
  <si>
    <t>160301001</t>
  </si>
  <si>
    <t>28814244</t>
  </si>
  <si>
    <t>1612008618</t>
  </si>
  <si>
    <t>26468210</t>
  </si>
  <si>
    <t>1636005969</t>
  </si>
  <si>
    <t>27735168</t>
  </si>
  <si>
    <t>1656061048</t>
  </si>
  <si>
    <t>26491844</t>
  </si>
  <si>
    <t>ООО "Вейст Системз"</t>
  </si>
  <si>
    <t>1655094820</t>
  </si>
  <si>
    <t>31419045</t>
  </si>
  <si>
    <t>ООО "ГорЗеленТранс"</t>
  </si>
  <si>
    <t>1660335622</t>
  </si>
  <si>
    <t>31079465</t>
  </si>
  <si>
    <t>ООО "Гринта"</t>
  </si>
  <si>
    <t>1650326509</t>
  </si>
  <si>
    <t>31075772</t>
  </si>
  <si>
    <t>ООО "Гринта-ТК"</t>
  </si>
  <si>
    <t>1655397609</t>
  </si>
  <si>
    <t>26402592</t>
  </si>
  <si>
    <t>ООО "Жилкомбытсервис"</t>
  </si>
  <si>
    <t>1609009587</t>
  </si>
  <si>
    <t>26405875</t>
  </si>
  <si>
    <t>ООО "Индустрия"</t>
  </si>
  <si>
    <t>1652011254</t>
  </si>
  <si>
    <t>31745472</t>
  </si>
  <si>
    <t>ООО "КООРДИНАТА-ТКО"</t>
  </si>
  <si>
    <t>1660335541</t>
  </si>
  <si>
    <t>30435815</t>
  </si>
  <si>
    <t>ООО "КомунСервис"</t>
  </si>
  <si>
    <t>1650226102</t>
  </si>
  <si>
    <t>30984457</t>
  </si>
  <si>
    <t>ООО "МПО ЖХ и Б"</t>
  </si>
  <si>
    <t>9721009888</t>
  </si>
  <si>
    <t>772101001</t>
  </si>
  <si>
    <t>26405830</t>
  </si>
  <si>
    <t>ООО "Мамадыш ЖКУ"</t>
  </si>
  <si>
    <t>1626008569</t>
  </si>
  <si>
    <t>30944774</t>
  </si>
  <si>
    <t>ООО "Мехуборка К"</t>
  </si>
  <si>
    <t>1650308764</t>
  </si>
  <si>
    <t>31419088</t>
  </si>
  <si>
    <t>ООО "Мехуборка-Закамье"</t>
  </si>
  <si>
    <t>1650277763</t>
  </si>
  <si>
    <t>31364278</t>
  </si>
  <si>
    <t>ООО "НК-Сервис Заинск"</t>
  </si>
  <si>
    <t>1647016056</t>
  </si>
  <si>
    <t>29-11-2013 00:00:00</t>
  </si>
  <si>
    <t>30856429</t>
  </si>
  <si>
    <t>ООО "Новокинерские коммунальные услуги"</t>
  </si>
  <si>
    <t>1609012491</t>
  </si>
  <si>
    <t>27507472</t>
  </si>
  <si>
    <t>ООО "ПЭК"</t>
  </si>
  <si>
    <t>1650164960</t>
  </si>
  <si>
    <t>28-11-2011 00:00:00</t>
  </si>
  <si>
    <t>28135887</t>
  </si>
  <si>
    <t>ООО "Поволжская экологическая компания"</t>
  </si>
  <si>
    <t>1624444626</t>
  </si>
  <si>
    <t>31361612</t>
  </si>
  <si>
    <t>ООО "Полигон НК"</t>
  </si>
  <si>
    <t>1651085373</t>
  </si>
  <si>
    <t>26405762</t>
  </si>
  <si>
    <t>ООО "Полигон ТБО"</t>
  </si>
  <si>
    <t>1643006096</t>
  </si>
  <si>
    <t>26405777</t>
  </si>
  <si>
    <t>1645015057</t>
  </si>
  <si>
    <t>26405864</t>
  </si>
  <si>
    <t>ООО "Полигон"</t>
  </si>
  <si>
    <t>1605005711</t>
  </si>
  <si>
    <t>26405801</t>
  </si>
  <si>
    <t>1616009732</t>
  </si>
  <si>
    <t>31696586</t>
  </si>
  <si>
    <t>ООО "Полигон-2"</t>
  </si>
  <si>
    <t>1645016300</t>
  </si>
  <si>
    <t>26491432</t>
  </si>
  <si>
    <t>ООО "Предприятие жилищно-коммунального хозяйства"</t>
  </si>
  <si>
    <t>1660086574</t>
  </si>
  <si>
    <t>30900828</t>
  </si>
  <si>
    <t>ООО "СЭС-Регион"</t>
  </si>
  <si>
    <t>1644089144</t>
  </si>
  <si>
    <t>31364274</t>
  </si>
  <si>
    <t>ООО "СанТэкСервис"</t>
  </si>
  <si>
    <t>1651083464</t>
  </si>
  <si>
    <t>26508785</t>
  </si>
  <si>
    <t>ООО "Тепличный комбинат "Майский"</t>
  </si>
  <si>
    <t>1655059656</t>
  </si>
  <si>
    <t>26405862</t>
  </si>
  <si>
    <t>ООО "Тетюши Жилсервис"</t>
  </si>
  <si>
    <t>1638006196</t>
  </si>
  <si>
    <t>30848601</t>
  </si>
  <si>
    <t>ООО "УК "ПЖКХ"</t>
  </si>
  <si>
    <t>1660274803</t>
  </si>
  <si>
    <t>31768411</t>
  </si>
  <si>
    <t>ООО "УК ЖКХ НМР РТ"</t>
  </si>
  <si>
    <t>1677004259</t>
  </si>
  <si>
    <t>167701001</t>
  </si>
  <si>
    <t>30-09-2024 00:00:00</t>
  </si>
  <si>
    <t>31278720</t>
  </si>
  <si>
    <t>ООО "УК" ЭКОПАРК"</t>
  </si>
  <si>
    <t>1659134304</t>
  </si>
  <si>
    <t>26405880</t>
  </si>
  <si>
    <t>ООО "Фламинго"</t>
  </si>
  <si>
    <t>1617003677</t>
  </si>
  <si>
    <t>31477248</t>
  </si>
  <si>
    <t>ООО "ЧИСТАЯ ПЛАНЕТА"</t>
  </si>
  <si>
    <t>1644092820</t>
  </si>
  <si>
    <t>27972811</t>
  </si>
  <si>
    <t>ООО "Чиста район"</t>
  </si>
  <si>
    <t>1608008830</t>
  </si>
  <si>
    <t>31419096</t>
  </si>
  <si>
    <t>ООО "Чистая Республика"</t>
  </si>
  <si>
    <t>1655423584</t>
  </si>
  <si>
    <t>31366978</t>
  </si>
  <si>
    <t>ООО "Чистый Город"</t>
  </si>
  <si>
    <t>1660124195</t>
  </si>
  <si>
    <t>31483599</t>
  </si>
  <si>
    <t>ООО "Чистый город А"</t>
  </si>
  <si>
    <t>1650160980</t>
  </si>
  <si>
    <t>31419092</t>
  </si>
  <si>
    <t>ООО "Чистый город К"</t>
  </si>
  <si>
    <t>1650160998</t>
  </si>
  <si>
    <t>31364305</t>
  </si>
  <si>
    <t>ООО "Чистый город Ц"</t>
  </si>
  <si>
    <t>1650160966</t>
  </si>
  <si>
    <t>30899046</t>
  </si>
  <si>
    <t>ООО "Чистый город"</t>
  </si>
  <si>
    <t>1644071644</t>
  </si>
  <si>
    <t>31364282</t>
  </si>
  <si>
    <t>ООО "Эко-Пром"</t>
  </si>
  <si>
    <t>1655322900</t>
  </si>
  <si>
    <t>26405824</t>
  </si>
  <si>
    <t>ООО "Эко-сервис"</t>
  </si>
  <si>
    <t>1623008063</t>
  </si>
  <si>
    <t>28858867</t>
  </si>
  <si>
    <t>ООО "ЭкоСистемы"</t>
  </si>
  <si>
    <t>1660173347</t>
  </si>
  <si>
    <t>164245001</t>
  </si>
  <si>
    <t>31364228</t>
  </si>
  <si>
    <t>ООО "Эколидер"</t>
  </si>
  <si>
    <t>1650364470</t>
  </si>
  <si>
    <t>26405833</t>
  </si>
  <si>
    <t>ООО "Экология"</t>
  </si>
  <si>
    <t>1627004920</t>
  </si>
  <si>
    <t>31342471</t>
  </si>
  <si>
    <t>ООО "Экорес"</t>
  </si>
  <si>
    <t>1648048773</t>
  </si>
  <si>
    <t>30991718</t>
  </si>
  <si>
    <t>ООО "Экосервис"</t>
  </si>
  <si>
    <t>1652024366</t>
  </si>
  <si>
    <t>31679322</t>
  </si>
  <si>
    <t>ООО "ЯКТЫ ЮЛ"</t>
  </si>
  <si>
    <t>1655423778</t>
  </si>
  <si>
    <t>31366703</t>
  </si>
  <si>
    <t>ООО Блик</t>
  </si>
  <si>
    <t>1655165654</t>
  </si>
  <si>
    <t>31366707</t>
  </si>
  <si>
    <t>ООО Буревестник</t>
  </si>
  <si>
    <t>1659068588</t>
  </si>
  <si>
    <t>31366984</t>
  </si>
  <si>
    <t>ООО ГК Грин Сити</t>
  </si>
  <si>
    <t>1648042490</t>
  </si>
  <si>
    <t>31366712</t>
  </si>
  <si>
    <t>ООО Жилсервис плюс</t>
  </si>
  <si>
    <t>1657241389</t>
  </si>
  <si>
    <t>31366988</t>
  </si>
  <si>
    <t>ООО Комтех</t>
  </si>
  <si>
    <t>1659074567</t>
  </si>
  <si>
    <t>31366716</t>
  </si>
  <si>
    <t>ООО Ландшафт-Строй</t>
  </si>
  <si>
    <t>1660235681</t>
  </si>
  <si>
    <t>31366992</t>
  </si>
  <si>
    <t>ООО Мехуборка КЗН</t>
  </si>
  <si>
    <t>1659064801</t>
  </si>
  <si>
    <t>31366720</t>
  </si>
  <si>
    <t>ООО НАТЭКС</t>
  </si>
  <si>
    <t>1660084520</t>
  </si>
  <si>
    <t>31366748</t>
  </si>
  <si>
    <t>ООО Ципьинское МПП</t>
  </si>
  <si>
    <t>1612008576</t>
  </si>
  <si>
    <t>31366996</t>
  </si>
  <si>
    <t>ООО ЭкоАвтотрейд</t>
  </si>
  <si>
    <t>1615007115</t>
  </si>
  <si>
    <t>31366753</t>
  </si>
  <si>
    <t>ООО ЭкоМир Казань</t>
  </si>
  <si>
    <t>1660117952</t>
  </si>
  <si>
    <t>31366757</t>
  </si>
  <si>
    <t>ООО Экотех</t>
  </si>
  <si>
    <t>1656098432</t>
  </si>
  <si>
    <t>31366761</t>
  </si>
  <si>
    <t>ООО ЭлитСервис</t>
  </si>
  <si>
    <t>1658155260</t>
  </si>
  <si>
    <t>31366765</t>
  </si>
  <si>
    <t>ООО Эстетика</t>
  </si>
  <si>
    <t>1661038492</t>
  </si>
  <si>
    <t>NSRF</t>
  </si>
  <si>
    <t>MR_NAME</t>
  </si>
  <si>
    <t>OKTMO_MR_NAME</t>
  </si>
  <si>
    <t>MO_NAME</t>
  </si>
  <si>
    <t>OKTMO_NAME</t>
  </si>
  <si>
    <t>TYPE</t>
  </si>
  <si>
    <t>MR_ID</t>
  </si>
  <si>
    <t>Агрызский муниципальный район</t>
  </si>
  <si>
    <t>92601000</t>
  </si>
  <si>
    <t>муниципальный район</t>
  </si>
  <si>
    <t>Азевское</t>
  </si>
  <si>
    <t>92601405</t>
  </si>
  <si>
    <t>сельское поселение</t>
  </si>
  <si>
    <t>Бимское</t>
  </si>
  <si>
    <t>92601410</t>
  </si>
  <si>
    <t>Город Агрыз</t>
  </si>
  <si>
    <t>92601101</t>
  </si>
  <si>
    <t>городское поселение, в состав которого входит город</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</si>
  <si>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</si>
  <si>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</si>
  <si>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</si>
  <si>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</si>
  <si>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</si>
  <si>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</si>
  <si>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</si>
  <si>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</si>
  <si>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</si>
  <si>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</si>
  <si>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</si>
  <si>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</si>
  <si>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</si>
  <si>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</si>
  <si>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</si>
  <si>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</si>
  <si>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</si>
  <si>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</si>
  <si>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</si>
  <si>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</si>
  <si>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</si>
  <si>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</si>
  <si>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</si>
  <si>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</si>
  <si>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</si>
  <si>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</si>
  <si>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</si>
  <si>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</si>
  <si>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</si>
  <si>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</si>
  <si>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</si>
  <si>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</si>
  <si>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</si>
  <si>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</si>
  <si>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</si>
  <si>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</si>
  <si>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</si>
  <si>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</si>
  <si>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</si>
  <si>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</si>
  <si>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</si>
  <si>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</si>
  <si>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</si>
  <si>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</si>
  <si>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</si>
  <si>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</si>
  <si>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</si>
  <si>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</si>
  <si>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</si>
  <si>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</si>
  <si>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</si>
  <si>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</si>
  <si>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</si>
  <si>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</si>
  <si>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</si>
  <si>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</si>
  <si>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</si>
  <si>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</si>
  <si>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</si>
  <si>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</si>
  <si>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</si>
  <si>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</si>
  <si>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</si>
  <si>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</si>
  <si>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</si>
  <si>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</si>
  <si>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</si>
  <si>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</si>
  <si>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</si>
  <si>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</si>
  <si>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</si>
  <si>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</si>
  <si>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</si>
  <si>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</si>
  <si>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</si>
  <si>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</si>
  <si>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</si>
  <si>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</si>
  <si>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</si>
  <si>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</si>
  <si>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</si>
  <si>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</si>
  <si>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</si>
  <si>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</si>
  <si>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</si>
  <si>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</si>
  <si>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</si>
  <si>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</si>
  <si>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</si>
  <si>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</si>
  <si>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</si>
  <si>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</si>
  <si>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</si>
  <si>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</si>
  <si>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</si>
  <si>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</si>
  <si>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городское поселение, в состав которого входит поселок</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</si>
  <si>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</si>
  <si>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</si>
  <si>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</si>
  <si>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</si>
  <si>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</si>
  <si>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</si>
  <si>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</si>
  <si>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</si>
  <si>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</si>
  <si>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</si>
  <si>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</si>
  <si>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</si>
  <si>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</si>
  <si>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</si>
  <si>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</si>
  <si>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</si>
  <si>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60</t>
  </si>
  <si>
    <t>Новокиреметское</t>
  </si>
  <si>
    <t>92604435</t>
  </si>
  <si>
    <t>61</t>
  </si>
  <si>
    <t>Саврушское</t>
  </si>
  <si>
    <t>92604445</t>
  </si>
  <si>
    <t>62</t>
  </si>
  <si>
    <t>Староибрайкинское</t>
  </si>
  <si>
    <t>92604450</t>
  </si>
  <si>
    <t>63</t>
  </si>
  <si>
    <t>Староильдеряковское</t>
  </si>
  <si>
    <t>92604455</t>
  </si>
  <si>
    <t>64</t>
  </si>
  <si>
    <t>Старокиреметское</t>
  </si>
  <si>
    <t>92604460</t>
  </si>
  <si>
    <t>65</t>
  </si>
  <si>
    <t>Старокиязлинское</t>
  </si>
  <si>
    <t>92604465</t>
  </si>
  <si>
    <t>Старотатарско-Адамское</t>
  </si>
  <si>
    <t>92604468</t>
  </si>
  <si>
    <t>67</t>
  </si>
  <si>
    <t>Старотимошкинское</t>
  </si>
  <si>
    <t>92604470</t>
  </si>
  <si>
    <t>Староузеевское</t>
  </si>
  <si>
    <t>92604475</t>
  </si>
  <si>
    <t>69</t>
  </si>
  <si>
    <t>Сунчелеевское</t>
  </si>
  <si>
    <t>92604480</t>
  </si>
  <si>
    <t>70</t>
  </si>
  <si>
    <t>Трудолюбовское</t>
  </si>
  <si>
    <t>92604485</t>
  </si>
  <si>
    <t>71</t>
  </si>
  <si>
    <t>Урмандеевское</t>
  </si>
  <si>
    <t>92604490</t>
  </si>
  <si>
    <t>72</t>
  </si>
  <si>
    <t>Щербенское</t>
  </si>
  <si>
    <t>92604493</t>
  </si>
  <si>
    <t>73</t>
  </si>
  <si>
    <t>поселок городского типа Аксубаево</t>
  </si>
  <si>
    <t>92604151</t>
  </si>
  <si>
    <t>74</t>
  </si>
  <si>
    <t>Актанышский муниципальный район</t>
  </si>
  <si>
    <t>92605000</t>
  </si>
  <si>
    <t>Аишевское</t>
  </si>
  <si>
    <t>92605402</t>
  </si>
  <si>
    <t>75</t>
  </si>
  <si>
    <t>Аккузовское</t>
  </si>
  <si>
    <t>92605404</t>
  </si>
  <si>
    <t>76</t>
  </si>
  <si>
    <t>Актанышбашское</t>
  </si>
  <si>
    <t>92605408</t>
  </si>
  <si>
    <t>77</t>
  </si>
  <si>
    <t>78</t>
  </si>
  <si>
    <t>Актанышское</t>
  </si>
  <si>
    <t>92605409</t>
  </si>
  <si>
    <t>79</t>
  </si>
  <si>
    <t>Атясевское</t>
  </si>
  <si>
    <t>92605411</t>
  </si>
  <si>
    <t>80</t>
  </si>
  <si>
    <t>Верхнеяхшеевское</t>
  </si>
  <si>
    <t>92605415</t>
  </si>
  <si>
    <t>81</t>
  </si>
  <si>
    <t>Казкеевское</t>
  </si>
  <si>
    <t>92605419</t>
  </si>
  <si>
    <t>82</t>
  </si>
  <si>
    <t>Кировское</t>
  </si>
  <si>
    <t>92605423</t>
  </si>
  <si>
    <t>83</t>
  </si>
  <si>
    <t>Кузякинское</t>
  </si>
  <si>
    <t>92605427</t>
  </si>
  <si>
    <t>84</t>
  </si>
  <si>
    <t>Масадинское</t>
  </si>
  <si>
    <t>92605438</t>
  </si>
  <si>
    <t>85</t>
  </si>
  <si>
    <t>Новоалимовское</t>
  </si>
  <si>
    <t>92605434</t>
  </si>
  <si>
    <t>86</t>
  </si>
  <si>
    <t>Поисевское</t>
  </si>
  <si>
    <t>92605441</t>
  </si>
  <si>
    <t>87</t>
  </si>
  <si>
    <t>Староаймановское</t>
  </si>
  <si>
    <t>92605445</t>
  </si>
  <si>
    <t>88</t>
  </si>
  <si>
    <t>Старобайсаровское</t>
  </si>
  <si>
    <t>92605448</t>
  </si>
  <si>
    <t>89</t>
  </si>
  <si>
    <t>Старобугадинское</t>
  </si>
  <si>
    <t>92605451</t>
  </si>
  <si>
    <t>90</t>
  </si>
  <si>
    <t>Старокурмашевское</t>
  </si>
  <si>
    <t>92605454</t>
  </si>
  <si>
    <t>91</t>
  </si>
  <si>
    <t>Старосафаровское</t>
  </si>
  <si>
    <t>92605457</t>
  </si>
  <si>
    <t>92</t>
  </si>
  <si>
    <t>Такталачукское</t>
  </si>
  <si>
    <t>92605464</t>
  </si>
  <si>
    <t>93</t>
  </si>
  <si>
    <t>Татарско-Суксинское</t>
  </si>
  <si>
    <t>92605470</t>
  </si>
  <si>
    <t>94</t>
  </si>
  <si>
    <t>Татарско-Ямалинское</t>
  </si>
  <si>
    <t>92605473</t>
  </si>
  <si>
    <t>95</t>
  </si>
  <si>
    <t>Тлякеевское</t>
  </si>
  <si>
    <t>92605477</t>
  </si>
  <si>
    <t>96</t>
  </si>
  <si>
    <t>Тюковское</t>
  </si>
  <si>
    <t>92605481</t>
  </si>
  <si>
    <t>97</t>
  </si>
  <si>
    <t>92605430</t>
  </si>
  <si>
    <t>98</t>
  </si>
  <si>
    <t>Усинское</t>
  </si>
  <si>
    <t>92605432</t>
  </si>
  <si>
    <t>99</t>
  </si>
  <si>
    <t>Чалманаратское</t>
  </si>
  <si>
    <t>92605485</t>
  </si>
  <si>
    <t>100</t>
  </si>
  <si>
    <t>Чуракаевское</t>
  </si>
  <si>
    <t>92605493</t>
  </si>
  <si>
    <t>101</t>
  </si>
  <si>
    <t>Алексеевский муниципальный район</t>
  </si>
  <si>
    <t>92606000</t>
  </si>
  <si>
    <t>102</t>
  </si>
  <si>
    <t>Билярское</t>
  </si>
  <si>
    <t>92606405</t>
  </si>
  <si>
    <t>103</t>
  </si>
  <si>
    <t>Большеполянское</t>
  </si>
  <si>
    <t>92606410</t>
  </si>
  <si>
    <t>104</t>
  </si>
  <si>
    <t>Большетиганское</t>
  </si>
  <si>
    <t>92606415</t>
  </si>
  <si>
    <t>105</t>
  </si>
  <si>
    <t>Бутлеровское</t>
  </si>
  <si>
    <t>92606420</t>
  </si>
  <si>
    <t>106</t>
  </si>
  <si>
    <t>Войкинское</t>
  </si>
  <si>
    <t>92606425</t>
  </si>
  <si>
    <t>107</t>
  </si>
  <si>
    <t>Ерыклинское</t>
  </si>
  <si>
    <t>92606435</t>
  </si>
  <si>
    <t>108</t>
  </si>
  <si>
    <t>Куркульское</t>
  </si>
  <si>
    <t>92606440</t>
  </si>
  <si>
    <t>109</t>
  </si>
  <si>
    <t>Курналинское</t>
  </si>
  <si>
    <t>92606442</t>
  </si>
  <si>
    <t>110</t>
  </si>
  <si>
    <t>Лебединское</t>
  </si>
  <si>
    <t>92606445</t>
  </si>
  <si>
    <t>111</t>
  </si>
  <si>
    <t>Лебяжинское</t>
  </si>
  <si>
    <t>92606450</t>
  </si>
  <si>
    <t>112</t>
  </si>
  <si>
    <t>Левашевское</t>
  </si>
  <si>
    <t>92606455</t>
  </si>
  <si>
    <t>113</t>
  </si>
  <si>
    <t>Майнское</t>
  </si>
  <si>
    <t>92606460</t>
  </si>
  <si>
    <t>114</t>
  </si>
  <si>
    <t>Подлесно-Шенталинское</t>
  </si>
  <si>
    <t>92606470</t>
  </si>
  <si>
    <t>115</t>
  </si>
  <si>
    <t>Родниковское</t>
  </si>
  <si>
    <t>92606475</t>
  </si>
  <si>
    <t>116</t>
  </si>
  <si>
    <t>Ромодановское</t>
  </si>
  <si>
    <t>92606476</t>
  </si>
  <si>
    <t>117</t>
  </si>
  <si>
    <t>Сахаровское</t>
  </si>
  <si>
    <t>92606478</t>
  </si>
  <si>
    <t>118</t>
  </si>
  <si>
    <t>Среднетиганское</t>
  </si>
  <si>
    <t>92606480</t>
  </si>
  <si>
    <t>119</t>
  </si>
  <si>
    <t>Степношенталинское</t>
  </si>
  <si>
    <t>92606490</t>
  </si>
  <si>
    <t>120</t>
  </si>
  <si>
    <t>Ялкынское</t>
  </si>
  <si>
    <t>92606495</t>
  </si>
  <si>
    <t>121</t>
  </si>
  <si>
    <t>поселок городского типа Алексеевское</t>
  </si>
  <si>
    <t>92606151</t>
  </si>
  <si>
    <t>122</t>
  </si>
  <si>
    <t>Алькеевский муниципальный район</t>
  </si>
  <si>
    <t>92607000</t>
  </si>
  <si>
    <t>123</t>
  </si>
  <si>
    <t>Аппаковское</t>
  </si>
  <si>
    <t>92607404</t>
  </si>
  <si>
    <t>124</t>
  </si>
  <si>
    <t>Базарно-Матакское</t>
  </si>
  <si>
    <t>92607408</t>
  </si>
  <si>
    <t>125</t>
  </si>
  <si>
    <t>Борискинское</t>
  </si>
  <si>
    <t>92607412</t>
  </si>
  <si>
    <t>126</t>
  </si>
  <si>
    <t>Верхнеколчуринское</t>
  </si>
  <si>
    <t>92607416</t>
  </si>
  <si>
    <t>127</t>
  </si>
  <si>
    <t>Каргопольское</t>
  </si>
  <si>
    <t>92607420</t>
  </si>
  <si>
    <t>128</t>
  </si>
  <si>
    <t>Кошкинское</t>
  </si>
  <si>
    <t>92607424</t>
  </si>
  <si>
    <t>129</t>
  </si>
  <si>
    <t>Нижнеалькеевское</t>
  </si>
  <si>
    <t>92607428</t>
  </si>
  <si>
    <t>130</t>
  </si>
  <si>
    <t>Нижнекачеевское</t>
  </si>
  <si>
    <t>92607432</t>
  </si>
  <si>
    <t>131</t>
  </si>
  <si>
    <t>Новоургагарское</t>
  </si>
  <si>
    <t>92607440</t>
  </si>
  <si>
    <t>132</t>
  </si>
  <si>
    <t>Салманское</t>
  </si>
  <si>
    <t>92607444</t>
  </si>
  <si>
    <t>133</t>
  </si>
  <si>
    <t>Староалпаровское</t>
  </si>
  <si>
    <t>92607448</t>
  </si>
  <si>
    <t>134</t>
  </si>
  <si>
    <t>Старокамкинское</t>
  </si>
  <si>
    <t>92607452</t>
  </si>
  <si>
    <t>135</t>
  </si>
  <si>
    <t>Староматакское</t>
  </si>
  <si>
    <t>92607456</t>
  </si>
  <si>
    <t>136</t>
  </si>
  <si>
    <t>Старосалмановское</t>
  </si>
  <si>
    <t>92607460</t>
  </si>
  <si>
    <t>137</t>
  </si>
  <si>
    <t>Старохурадинское</t>
  </si>
  <si>
    <t>92607464</t>
  </si>
  <si>
    <t>138</t>
  </si>
  <si>
    <t>Старочелнинское</t>
  </si>
  <si>
    <t>92607468</t>
  </si>
  <si>
    <t>139</t>
  </si>
  <si>
    <t>Тяжбердинское</t>
  </si>
  <si>
    <t>92607470</t>
  </si>
  <si>
    <t>140</t>
  </si>
  <si>
    <t>Чувашско-Бродское</t>
  </si>
  <si>
    <t>92607472</t>
  </si>
  <si>
    <t>141</t>
  </si>
  <si>
    <t>Чувашско-Бурнаевское</t>
  </si>
  <si>
    <t>92607476</t>
  </si>
  <si>
    <t>142</t>
  </si>
  <si>
    <t>Шибашинское</t>
  </si>
  <si>
    <t>92607484</t>
  </si>
  <si>
    <t>143</t>
  </si>
  <si>
    <t>Юхмачинское</t>
  </si>
  <si>
    <t>92607488</t>
  </si>
  <si>
    <t>144</t>
  </si>
  <si>
    <t>Альметьевский муниципальный район</t>
  </si>
  <si>
    <t>92608000</t>
  </si>
  <si>
    <t>Абдрахмановское</t>
  </si>
  <si>
    <t>92608403</t>
  </si>
  <si>
    <t>145</t>
  </si>
  <si>
    <t>146</t>
  </si>
  <si>
    <t>Альметьевское</t>
  </si>
  <si>
    <t>92608404</t>
  </si>
  <si>
    <t>147</t>
  </si>
  <si>
    <t>92608424</t>
  </si>
  <si>
    <t>148</t>
  </si>
  <si>
    <t>Багряж-Никольское</t>
  </si>
  <si>
    <t>92608406</t>
  </si>
  <si>
    <t>149</t>
  </si>
  <si>
    <t>Бишмунчинское</t>
  </si>
  <si>
    <t>92608409</t>
  </si>
  <si>
    <t>150</t>
  </si>
  <si>
    <t>92608412</t>
  </si>
  <si>
    <t>151</t>
  </si>
  <si>
    <t>Бутинское</t>
  </si>
  <si>
    <t>92608413</t>
  </si>
  <si>
    <t>152</t>
  </si>
  <si>
    <t>Васильевское</t>
  </si>
  <si>
    <t>92608416</t>
  </si>
  <si>
    <t>153</t>
  </si>
  <si>
    <t>Верхнеакташское</t>
  </si>
  <si>
    <t>92608418</t>
  </si>
  <si>
    <t>154</t>
  </si>
  <si>
    <t>Верхнемактаминское</t>
  </si>
  <si>
    <t>92608419</t>
  </si>
  <si>
    <t>155</t>
  </si>
  <si>
    <t>Город Альметьевск</t>
  </si>
  <si>
    <t>92608101</t>
  </si>
  <si>
    <t>156</t>
  </si>
  <si>
    <t>Елховское</t>
  </si>
  <si>
    <t>92608421</t>
  </si>
  <si>
    <t>157</t>
  </si>
  <si>
    <t>Ерсубайкинское</t>
  </si>
  <si>
    <t>92608422</t>
  </si>
  <si>
    <t>158</t>
  </si>
  <si>
    <t>Калейкинское</t>
  </si>
  <si>
    <t>92608427</t>
  </si>
  <si>
    <t>159</t>
  </si>
  <si>
    <t>Кама-Исмагиловское</t>
  </si>
  <si>
    <t>92608428</t>
  </si>
  <si>
    <t>160</t>
  </si>
  <si>
    <t>Кичуйское</t>
  </si>
  <si>
    <t>92608433</t>
  </si>
  <si>
    <t>161</t>
  </si>
  <si>
    <t>Кичучатовское</t>
  </si>
  <si>
    <t>92608434</t>
  </si>
  <si>
    <t>162</t>
  </si>
  <si>
    <t>Клементейкинское</t>
  </si>
  <si>
    <t>92608436</t>
  </si>
  <si>
    <t>163</t>
  </si>
  <si>
    <t>Кузайкинское</t>
  </si>
  <si>
    <t>92608439</t>
  </si>
  <si>
    <t>164</t>
  </si>
  <si>
    <t>Кульшариповское</t>
  </si>
  <si>
    <t>92608440</t>
  </si>
  <si>
    <t>165</t>
  </si>
  <si>
    <t>Лесно-Калейкинское</t>
  </si>
  <si>
    <t>92608441</t>
  </si>
  <si>
    <t>166</t>
  </si>
  <si>
    <t>Маметьевское</t>
  </si>
  <si>
    <t>92608442</t>
  </si>
  <si>
    <t>167</t>
  </si>
  <si>
    <t>Миннибаевское</t>
  </si>
  <si>
    <t>92608445</t>
  </si>
  <si>
    <t>168</t>
  </si>
  <si>
    <t>Нижнеабдулловское</t>
  </si>
  <si>
    <t>92608447</t>
  </si>
  <si>
    <t>169</t>
  </si>
  <si>
    <t>Новокашировское</t>
  </si>
  <si>
    <t>92608448</t>
  </si>
  <si>
    <t>170</t>
  </si>
  <si>
    <t>Новонадыровское</t>
  </si>
  <si>
    <t>92608451</t>
  </si>
  <si>
    <t>171</t>
  </si>
  <si>
    <t>Новоникольское</t>
  </si>
  <si>
    <t>92608454</t>
  </si>
  <si>
    <t>172</t>
  </si>
  <si>
    <t>Новотроицкое</t>
  </si>
  <si>
    <t>92608457</t>
  </si>
  <si>
    <t>173</t>
  </si>
  <si>
    <t>Русско-Акташское</t>
  </si>
  <si>
    <t>92608459</t>
  </si>
  <si>
    <t>174</t>
  </si>
  <si>
    <t>Сиренькинское</t>
  </si>
  <si>
    <t>92608430</t>
  </si>
  <si>
    <t>175</t>
  </si>
  <si>
    <t>Старомихайловское</t>
  </si>
  <si>
    <t>92608460</t>
  </si>
  <si>
    <t>176</t>
  </si>
  <si>
    <t>Старосуркинское</t>
  </si>
  <si>
    <t>92608415</t>
  </si>
  <si>
    <t>177</t>
  </si>
  <si>
    <t>Сулеевское</t>
  </si>
  <si>
    <t>92608463</t>
  </si>
  <si>
    <t>178</t>
  </si>
  <si>
    <t>Тайсугановское</t>
  </si>
  <si>
    <t>92608464</t>
  </si>
  <si>
    <t>179</t>
  </si>
  <si>
    <t>Ямашинское</t>
  </si>
  <si>
    <t>92608469</t>
  </si>
  <si>
    <t>180</t>
  </si>
  <si>
    <t>Ямашское</t>
  </si>
  <si>
    <t>92608472</t>
  </si>
  <si>
    <t>181</t>
  </si>
  <si>
    <t>поселок городского типа Нижняя Мактама</t>
  </si>
  <si>
    <t>92608105</t>
  </si>
  <si>
    <t>182</t>
  </si>
  <si>
    <t>Апастовский муниципальный район</t>
  </si>
  <si>
    <t>92610000</t>
  </si>
  <si>
    <t>Альмендеровское</t>
  </si>
  <si>
    <t>92610403</t>
  </si>
  <si>
    <t>183</t>
  </si>
  <si>
    <t>184</t>
  </si>
  <si>
    <t>Бакрчинское</t>
  </si>
  <si>
    <t>92610410</t>
  </si>
  <si>
    <t>185</t>
  </si>
  <si>
    <t>Бишевское</t>
  </si>
  <si>
    <t>92610412</t>
  </si>
  <si>
    <t>186</t>
  </si>
  <si>
    <t>Большеболгоярское</t>
  </si>
  <si>
    <t>92610415</t>
  </si>
  <si>
    <t>187</t>
  </si>
  <si>
    <t>Большекокузское</t>
  </si>
  <si>
    <t>92610417</t>
  </si>
  <si>
    <t>188</t>
  </si>
  <si>
    <t>Булым-Булыхчинское</t>
  </si>
  <si>
    <t>92610425</t>
  </si>
  <si>
    <t>189</t>
  </si>
  <si>
    <t>Верхнеаткозинское</t>
  </si>
  <si>
    <t>92610430</t>
  </si>
  <si>
    <t>190</t>
  </si>
  <si>
    <t>Верхнеиндырчинское</t>
  </si>
  <si>
    <t>92610433</t>
  </si>
  <si>
    <t>191</t>
  </si>
  <si>
    <t>Деушевское</t>
  </si>
  <si>
    <t>92610436</t>
  </si>
  <si>
    <t>192</t>
  </si>
  <si>
    <t>Ишеевское</t>
  </si>
  <si>
    <t>92610439</t>
  </si>
  <si>
    <t>193</t>
  </si>
  <si>
    <t>Каратунское</t>
  </si>
  <si>
    <t>92610444</t>
  </si>
  <si>
    <t>194</t>
  </si>
  <si>
    <t>Кзыл-Тауское</t>
  </si>
  <si>
    <t>92610442</t>
  </si>
  <si>
    <t>195</t>
  </si>
  <si>
    <t>Куштовское</t>
  </si>
  <si>
    <t>92610448</t>
  </si>
  <si>
    <t>196</t>
  </si>
  <si>
    <t>Сатламышевское</t>
  </si>
  <si>
    <t>92610456</t>
  </si>
  <si>
    <t>197</t>
  </si>
  <si>
    <t>Среднебалтаевское</t>
  </si>
  <si>
    <t>92610459</t>
  </si>
  <si>
    <t>198</t>
  </si>
  <si>
    <t>Староюмралинское</t>
  </si>
  <si>
    <t>92610462</t>
  </si>
  <si>
    <t>199</t>
  </si>
  <si>
    <t>Табар-Черкийское</t>
  </si>
  <si>
    <t>92610453</t>
  </si>
  <si>
    <t>200</t>
  </si>
  <si>
    <t>Тутаевское</t>
  </si>
  <si>
    <t>92610455</t>
  </si>
  <si>
    <t>201</t>
  </si>
  <si>
    <t>Черемшанское</t>
  </si>
  <si>
    <t>92610474</t>
  </si>
  <si>
    <t>202</t>
  </si>
  <si>
    <t>Чуру-Барышевское</t>
  </si>
  <si>
    <t>92610477</t>
  </si>
  <si>
    <t>203</t>
  </si>
  <si>
    <t>Шамбулыхчинское</t>
  </si>
  <si>
    <t>92610483</t>
  </si>
  <si>
    <t>204</t>
  </si>
  <si>
    <t>поселок городского типа Апастово</t>
  </si>
  <si>
    <t>92610151</t>
  </si>
  <si>
    <t>205</t>
  </si>
  <si>
    <t>Арский муниципальный район</t>
  </si>
  <si>
    <t>92612000</t>
  </si>
  <si>
    <t>Апазовское</t>
  </si>
  <si>
    <t>92612403</t>
  </si>
  <si>
    <t>206</t>
  </si>
  <si>
    <t>207</t>
  </si>
  <si>
    <t>Город Арск</t>
  </si>
  <si>
    <t>92612151</t>
  </si>
  <si>
    <t>208</t>
  </si>
  <si>
    <t>Качелинское</t>
  </si>
  <si>
    <t>92612422</t>
  </si>
  <si>
    <t>209</t>
  </si>
  <si>
    <t>Наласинское</t>
  </si>
  <si>
    <t>92612442</t>
  </si>
  <si>
    <t>210</t>
  </si>
  <si>
    <t>Новокинерское</t>
  </si>
  <si>
    <t>92612450</t>
  </si>
  <si>
    <t>211</t>
  </si>
  <si>
    <t>Новокишитское</t>
  </si>
  <si>
    <t>92612452</t>
  </si>
  <si>
    <t>212</t>
  </si>
  <si>
    <t>Новокырлайское</t>
  </si>
  <si>
    <t>92612454</t>
  </si>
  <si>
    <t>213</t>
  </si>
  <si>
    <t>Сизинское</t>
  </si>
  <si>
    <t>92612462</t>
  </si>
  <si>
    <t>214</t>
  </si>
  <si>
    <t>Среднеатынское</t>
  </si>
  <si>
    <t>92612465</t>
  </si>
  <si>
    <t>215</t>
  </si>
  <si>
    <t>Среднекорсинское</t>
  </si>
  <si>
    <t>92612415</t>
  </si>
  <si>
    <t>216</t>
  </si>
  <si>
    <t>Старокырлайское</t>
  </si>
  <si>
    <t>92612439</t>
  </si>
  <si>
    <t>217</t>
  </si>
  <si>
    <t>Старочурилинское</t>
  </si>
  <si>
    <t>92612474</t>
  </si>
  <si>
    <t>218</t>
  </si>
  <si>
    <t>Ташкичинское</t>
  </si>
  <si>
    <t>92612480</t>
  </si>
  <si>
    <t>219</t>
  </si>
  <si>
    <t>Урнякское</t>
  </si>
  <si>
    <t>92612406</t>
  </si>
  <si>
    <t>220</t>
  </si>
  <si>
    <t>Утар-Атынское</t>
  </si>
  <si>
    <t>92612486</t>
  </si>
  <si>
    <t>221</t>
  </si>
  <si>
    <t>Шушмабашское</t>
  </si>
  <si>
    <t>92612496</t>
  </si>
  <si>
    <t>222</t>
  </si>
  <si>
    <t>Янга-Салское</t>
  </si>
  <si>
    <t>92612498</t>
  </si>
  <si>
    <t>223</t>
  </si>
  <si>
    <t>Атнинский муниципальный район</t>
  </si>
  <si>
    <t>92613000</t>
  </si>
  <si>
    <t>224</t>
  </si>
  <si>
    <t>Большеатнинское</t>
  </si>
  <si>
    <t>92613408</t>
  </si>
  <si>
    <t>225</t>
  </si>
  <si>
    <t>Большеменгерское</t>
  </si>
  <si>
    <t>92613410</t>
  </si>
  <si>
    <t>226</t>
  </si>
  <si>
    <t>Верхнесердинское</t>
  </si>
  <si>
    <t>92613415</t>
  </si>
  <si>
    <t>227</t>
  </si>
  <si>
    <t>Коморгузинское</t>
  </si>
  <si>
    <t>92613425</t>
  </si>
  <si>
    <t>228</t>
  </si>
  <si>
    <t>Кубянское</t>
  </si>
  <si>
    <t>92613430</t>
  </si>
  <si>
    <t>229</t>
  </si>
  <si>
    <t>Кулле-Киминское</t>
  </si>
  <si>
    <t>92613434</t>
  </si>
  <si>
    <t>230</t>
  </si>
  <si>
    <t>Кунгерское</t>
  </si>
  <si>
    <t>92613437</t>
  </si>
  <si>
    <t>231</t>
  </si>
  <si>
    <t>Кшкловское</t>
  </si>
  <si>
    <t>92613440</t>
  </si>
  <si>
    <t>232</t>
  </si>
  <si>
    <t>Нижнеберескинское</t>
  </si>
  <si>
    <t>92613445</t>
  </si>
  <si>
    <t>233</t>
  </si>
  <si>
    <t>Нижнекуюкское</t>
  </si>
  <si>
    <t>92613447</t>
  </si>
  <si>
    <t>234</t>
  </si>
  <si>
    <t>Новошашинское</t>
  </si>
  <si>
    <t>92613457</t>
  </si>
  <si>
    <t>235</t>
  </si>
  <si>
    <t>Узюмское</t>
  </si>
  <si>
    <t>92613470</t>
  </si>
  <si>
    <t>236</t>
  </si>
  <si>
    <t>Бавлинский муниципальный район</t>
  </si>
  <si>
    <t>92614000</t>
  </si>
  <si>
    <t>Александровское</t>
  </si>
  <si>
    <t>92614404</t>
  </si>
  <si>
    <t>237</t>
  </si>
  <si>
    <t>238</t>
  </si>
  <si>
    <t>Город Бавлы</t>
  </si>
  <si>
    <t>92614101</t>
  </si>
  <si>
    <t>239</t>
  </si>
  <si>
    <t>Исергаповское</t>
  </si>
  <si>
    <t>92614424</t>
  </si>
  <si>
    <t>240</t>
  </si>
  <si>
    <t>Кзыл-Ярское</t>
  </si>
  <si>
    <t>92614432</t>
  </si>
  <si>
    <t>241</t>
  </si>
  <si>
    <t>Крым-Сарайское</t>
  </si>
  <si>
    <t>92614436</t>
  </si>
  <si>
    <t>242</t>
  </si>
  <si>
    <t>Новозареченское</t>
  </si>
  <si>
    <t>92614416</t>
  </si>
  <si>
    <t>243</t>
  </si>
  <si>
    <t>Покровско-Урустамакское</t>
  </si>
  <si>
    <t>92614440</t>
  </si>
  <si>
    <t>244</t>
  </si>
  <si>
    <t>Поповское</t>
  </si>
  <si>
    <t>92614444</t>
  </si>
  <si>
    <t>245</t>
  </si>
  <si>
    <t>Потапово-Тумбарлинское</t>
  </si>
  <si>
    <t>92614448</t>
  </si>
  <si>
    <t>246</t>
  </si>
  <si>
    <t>Салиховское</t>
  </si>
  <si>
    <t>92614452</t>
  </si>
  <si>
    <t>247</t>
  </si>
  <si>
    <t>Татарско-Кандызское</t>
  </si>
  <si>
    <t>92614460</t>
  </si>
  <si>
    <t>248</t>
  </si>
  <si>
    <t>Тумбарлинское</t>
  </si>
  <si>
    <t>92614468</t>
  </si>
  <si>
    <t>249</t>
  </si>
  <si>
    <t>Удмуртско-Ташлинское</t>
  </si>
  <si>
    <t>92614472</t>
  </si>
  <si>
    <t>250</t>
  </si>
  <si>
    <t>Шалтинское</t>
  </si>
  <si>
    <t>92614480</t>
  </si>
  <si>
    <t>251</t>
  </si>
  <si>
    <t>Балтасинский муниципальный район</t>
  </si>
  <si>
    <t>92615000</t>
  </si>
  <si>
    <t>252</t>
  </si>
  <si>
    <t>Бурбашское</t>
  </si>
  <si>
    <t>92615407</t>
  </si>
  <si>
    <t>253</t>
  </si>
  <si>
    <t>Бурнакское</t>
  </si>
  <si>
    <t>92615408</t>
  </si>
  <si>
    <t>254</t>
  </si>
  <si>
    <t>Верхнесубашское</t>
  </si>
  <si>
    <t>92615415</t>
  </si>
  <si>
    <t>255</t>
  </si>
  <si>
    <t>Карадуванское</t>
  </si>
  <si>
    <t>92615425</t>
  </si>
  <si>
    <t>256</t>
  </si>
  <si>
    <t>Кугунурское</t>
  </si>
  <si>
    <t>92615420</t>
  </si>
  <si>
    <t>257</t>
  </si>
  <si>
    <t>Малолызинское</t>
  </si>
  <si>
    <t>92615428</t>
  </si>
  <si>
    <t>258</t>
  </si>
  <si>
    <t>Норминское</t>
  </si>
  <si>
    <t>92615430</t>
  </si>
  <si>
    <t>259</t>
  </si>
  <si>
    <t>Нуринерское</t>
  </si>
  <si>
    <t>92615435</t>
  </si>
  <si>
    <t>260</t>
  </si>
  <si>
    <t>Пижмарское</t>
  </si>
  <si>
    <t>92615440</t>
  </si>
  <si>
    <t>261</t>
  </si>
  <si>
    <t>Салаусское</t>
  </si>
  <si>
    <t>92615445</t>
  </si>
  <si>
    <t>262</t>
  </si>
  <si>
    <t>Смаильское</t>
  </si>
  <si>
    <t>92615410</t>
  </si>
  <si>
    <t>263</t>
  </si>
  <si>
    <t>Сосновское</t>
  </si>
  <si>
    <t>92615450</t>
  </si>
  <si>
    <t>264</t>
  </si>
  <si>
    <t>Среднекушкетское</t>
  </si>
  <si>
    <t>92615455</t>
  </si>
  <si>
    <t>265</t>
  </si>
  <si>
    <t>Ципьинское</t>
  </si>
  <si>
    <t>92615465</t>
  </si>
  <si>
    <t>266</t>
  </si>
  <si>
    <t>Шишинерское</t>
  </si>
  <si>
    <t>92615460</t>
  </si>
  <si>
    <t>267</t>
  </si>
  <si>
    <t>Шубанское</t>
  </si>
  <si>
    <t>92615470</t>
  </si>
  <si>
    <t>268</t>
  </si>
  <si>
    <t>Янгуловское</t>
  </si>
  <si>
    <t>92615475</t>
  </si>
  <si>
    <t>269</t>
  </si>
  <si>
    <t>поселок городского типа Балтаси</t>
  </si>
  <si>
    <t>92615151</t>
  </si>
  <si>
    <t>270</t>
  </si>
  <si>
    <t>Бугульминский муниципальный район</t>
  </si>
  <si>
    <t>92617000</t>
  </si>
  <si>
    <t>Акбашское</t>
  </si>
  <si>
    <t>92617405</t>
  </si>
  <si>
    <t>271</t>
  </si>
  <si>
    <t>Березовское</t>
  </si>
  <si>
    <t>92617460</t>
  </si>
  <si>
    <t>272</t>
  </si>
  <si>
    <t>Большефедоровское</t>
  </si>
  <si>
    <t>92617410</t>
  </si>
  <si>
    <t>273</t>
  </si>
  <si>
    <t>274</t>
  </si>
  <si>
    <t>Восточное</t>
  </si>
  <si>
    <t>92617412</t>
  </si>
  <si>
    <t>275</t>
  </si>
  <si>
    <t>Вязовское</t>
  </si>
  <si>
    <t>92617425</t>
  </si>
  <si>
    <t>276</t>
  </si>
  <si>
    <t>Город Бугульма</t>
  </si>
  <si>
    <t>92617101</t>
  </si>
  <si>
    <t>277</t>
  </si>
  <si>
    <t>Зеленорощинское</t>
  </si>
  <si>
    <t>92617415</t>
  </si>
  <si>
    <t>278</t>
  </si>
  <si>
    <t>Ключевское</t>
  </si>
  <si>
    <t>92617420</t>
  </si>
  <si>
    <t>279</t>
  </si>
  <si>
    <t>92617430</t>
  </si>
  <si>
    <t>280</t>
  </si>
  <si>
    <t>Малобугульминское</t>
  </si>
  <si>
    <t>92617435</t>
  </si>
  <si>
    <t>281</t>
  </si>
  <si>
    <t>Наратлинское</t>
  </si>
  <si>
    <t>92617440</t>
  </si>
  <si>
    <t>282</t>
  </si>
  <si>
    <t>Новоалександровское</t>
  </si>
  <si>
    <t>92617445</t>
  </si>
  <si>
    <t>283</t>
  </si>
  <si>
    <t>Новосумароковское</t>
  </si>
  <si>
    <t>92617450</t>
  </si>
  <si>
    <t>284</t>
  </si>
  <si>
    <t>Петровское</t>
  </si>
  <si>
    <t>92617452</t>
  </si>
  <si>
    <t>285</t>
  </si>
  <si>
    <t>Подгорненское</t>
  </si>
  <si>
    <t>92617455</t>
  </si>
  <si>
    <t>286</t>
  </si>
  <si>
    <t>Спасское</t>
  </si>
  <si>
    <t>92617465</t>
  </si>
  <si>
    <t>287</t>
  </si>
  <si>
    <t>Староисаковское</t>
  </si>
  <si>
    <t>92617470</t>
  </si>
  <si>
    <t>288</t>
  </si>
  <si>
    <t>Татарско-Дымское</t>
  </si>
  <si>
    <t>92617475</t>
  </si>
  <si>
    <t>289</t>
  </si>
  <si>
    <t>поселок городского типа Карабаш</t>
  </si>
  <si>
    <t>92617155</t>
  </si>
  <si>
    <t>290</t>
  </si>
  <si>
    <t>Буинский муниципальный район</t>
  </si>
  <si>
    <t>92618000</t>
  </si>
  <si>
    <t>Адав-Тулумбаевское</t>
  </si>
  <si>
    <t>92618404</t>
  </si>
  <si>
    <t>291</t>
  </si>
  <si>
    <t>Аксунское</t>
  </si>
  <si>
    <t>92618407</t>
  </si>
  <si>
    <t>292</t>
  </si>
  <si>
    <t>Альшеевское</t>
  </si>
  <si>
    <t>92618408</t>
  </si>
  <si>
    <t>293</t>
  </si>
  <si>
    <t>Альшиховское</t>
  </si>
  <si>
    <t>92618411</t>
  </si>
  <si>
    <t>294</t>
  </si>
  <si>
    <t>Бик-Утеевское</t>
  </si>
  <si>
    <t>92618415</t>
  </si>
  <si>
    <t>295</t>
  </si>
  <si>
    <t>Большефроловское</t>
  </si>
  <si>
    <t>92618419</t>
  </si>
  <si>
    <t>296</t>
  </si>
  <si>
    <t>297</t>
  </si>
  <si>
    <t>Бюрганское</t>
  </si>
  <si>
    <t>92618423</t>
  </si>
  <si>
    <t>298</t>
  </si>
  <si>
    <t>Верхнелащинское</t>
  </si>
  <si>
    <t>92618427</t>
  </si>
  <si>
    <t>299</t>
  </si>
  <si>
    <t>Город Буинск</t>
  </si>
  <si>
    <t>92618101</t>
  </si>
  <si>
    <t>300</t>
  </si>
  <si>
    <t>Исаковское</t>
  </si>
  <si>
    <t>92618431</t>
  </si>
  <si>
    <t>301</t>
  </si>
  <si>
    <t>Кайбицкое</t>
  </si>
  <si>
    <t>92618435</t>
  </si>
  <si>
    <t>302</t>
  </si>
  <si>
    <t>Киятское</t>
  </si>
  <si>
    <t>92618439</t>
  </si>
  <si>
    <t>303</t>
  </si>
  <si>
    <t>Кошки-Теняковское</t>
  </si>
  <si>
    <t>92618438</t>
  </si>
  <si>
    <t>304</t>
  </si>
  <si>
    <t>Кошки-Шемякинское</t>
  </si>
  <si>
    <t>92618440</t>
  </si>
  <si>
    <t>305</t>
  </si>
  <si>
    <t>Малобуинковское</t>
  </si>
  <si>
    <t>92618441</t>
  </si>
  <si>
    <t>306</t>
  </si>
  <si>
    <t>Мещеряковское</t>
  </si>
  <si>
    <t>92618442</t>
  </si>
  <si>
    <t>307</t>
  </si>
  <si>
    <t>Мокросавалеевское</t>
  </si>
  <si>
    <t>92618443</t>
  </si>
  <si>
    <t>308</t>
  </si>
  <si>
    <t>Нижненаратбашское</t>
  </si>
  <si>
    <t>92618447</t>
  </si>
  <si>
    <t>309</t>
  </si>
  <si>
    <t>Новотинчалинское</t>
  </si>
  <si>
    <t>92618451</t>
  </si>
  <si>
    <t>310</t>
  </si>
  <si>
    <t>Новочечкабское</t>
  </si>
  <si>
    <t>92618454</t>
  </si>
  <si>
    <t>311</t>
  </si>
  <si>
    <t>Нурлатское</t>
  </si>
  <si>
    <t>92618455</t>
  </si>
  <si>
    <t>312</t>
  </si>
  <si>
    <t>Рунгинское</t>
  </si>
  <si>
    <t>92618458</t>
  </si>
  <si>
    <t>313</t>
  </si>
  <si>
    <t>Сорок-Сайдакское</t>
  </si>
  <si>
    <t>92618462</t>
  </si>
  <si>
    <t>314</t>
  </si>
  <si>
    <t>Старостуденецкое</t>
  </si>
  <si>
    <t>92618469</t>
  </si>
  <si>
    <t>315</t>
  </si>
  <si>
    <t>Старотинчалинское</t>
  </si>
  <si>
    <t>92618472</t>
  </si>
  <si>
    <t>316</t>
  </si>
  <si>
    <t>Тимбаевское</t>
  </si>
  <si>
    <t>92618476</t>
  </si>
  <si>
    <t>317</t>
  </si>
  <si>
    <t>Черки-Гришинское</t>
  </si>
  <si>
    <t>92618480</t>
  </si>
  <si>
    <t>318</t>
  </si>
  <si>
    <t>Черки-Кильдуразское</t>
  </si>
  <si>
    <t>92618483</t>
  </si>
  <si>
    <t>319</t>
  </si>
  <si>
    <t>Чувашско-Кищаковское</t>
  </si>
  <si>
    <t>92618487</t>
  </si>
  <si>
    <t>320</t>
  </si>
  <si>
    <t>Энтуганское</t>
  </si>
  <si>
    <t>92618491</t>
  </si>
  <si>
    <t>321</t>
  </si>
  <si>
    <t>Яшевское</t>
  </si>
  <si>
    <t>92618495</t>
  </si>
  <si>
    <t>322</t>
  </si>
  <si>
    <t>Верхнеуслонский муниципальный район</t>
  </si>
  <si>
    <t>92620000</t>
  </si>
  <si>
    <t>Большемеминское</t>
  </si>
  <si>
    <t>92620403</t>
  </si>
  <si>
    <t>323</t>
  </si>
  <si>
    <t>Бурнашевское</t>
  </si>
  <si>
    <t>92620405</t>
  </si>
  <si>
    <t>324</t>
  </si>
  <si>
    <t>92620408</t>
  </si>
  <si>
    <t>325</t>
  </si>
  <si>
    <t>Введенско-Слободское</t>
  </si>
  <si>
    <t>92620410</t>
  </si>
  <si>
    <t>326</t>
  </si>
  <si>
    <t>327</t>
  </si>
  <si>
    <t>Верхнеуслонское</t>
  </si>
  <si>
    <t>92620415</t>
  </si>
  <si>
    <t>328</t>
  </si>
  <si>
    <t>Канашское</t>
  </si>
  <si>
    <t>92620420</t>
  </si>
  <si>
    <t>329</t>
  </si>
  <si>
    <t>Кильдеевское</t>
  </si>
  <si>
    <t>92620425</t>
  </si>
  <si>
    <t>330</t>
  </si>
  <si>
    <t>Коргузинское</t>
  </si>
  <si>
    <t>92620435</t>
  </si>
  <si>
    <t>331</t>
  </si>
  <si>
    <t>Кураловское</t>
  </si>
  <si>
    <t>92620440</t>
  </si>
  <si>
    <t>332</t>
  </si>
  <si>
    <t>Майданское</t>
  </si>
  <si>
    <t>92620445</t>
  </si>
  <si>
    <t>333</t>
  </si>
  <si>
    <t>Макуловское</t>
  </si>
  <si>
    <t>92620450</t>
  </si>
  <si>
    <t>334</t>
  </si>
  <si>
    <t>Набережно-Морквашское</t>
  </si>
  <si>
    <t>92620460</t>
  </si>
  <si>
    <t>335</t>
  </si>
  <si>
    <t>Нижнеуслонское</t>
  </si>
  <si>
    <t>92620465</t>
  </si>
  <si>
    <t>336</t>
  </si>
  <si>
    <t>Новорусско-Маматкозинское</t>
  </si>
  <si>
    <t>92620470</t>
  </si>
  <si>
    <t>337</t>
  </si>
  <si>
    <t>Октябрьское</t>
  </si>
  <si>
    <t>92620472</t>
  </si>
  <si>
    <t>338</t>
  </si>
  <si>
    <t>Печищинское</t>
  </si>
  <si>
    <t>92620473</t>
  </si>
  <si>
    <t>339</t>
  </si>
  <si>
    <t>Соболевское</t>
  </si>
  <si>
    <t>92620474</t>
  </si>
  <si>
    <t>340</t>
  </si>
  <si>
    <t>Шеланговское</t>
  </si>
  <si>
    <t>92620475</t>
  </si>
  <si>
    <t>341</t>
  </si>
  <si>
    <t>Ямбулатовское</t>
  </si>
  <si>
    <t>92620478</t>
  </si>
  <si>
    <t>342</t>
  </si>
  <si>
    <t>город Иннополис</t>
  </si>
  <si>
    <t>92620109</t>
  </si>
  <si>
    <t>343</t>
  </si>
  <si>
    <t>Высокогорский муниципальный район</t>
  </si>
  <si>
    <t>92622000</t>
  </si>
  <si>
    <t>Айбашское</t>
  </si>
  <si>
    <t>92622403</t>
  </si>
  <si>
    <t>344</t>
  </si>
  <si>
    <t>Алан-Бексерское</t>
  </si>
  <si>
    <t>92622406</t>
  </si>
  <si>
    <t>345</t>
  </si>
  <si>
    <t>Альдермышское</t>
  </si>
  <si>
    <t>92622409</t>
  </si>
  <si>
    <t>346</t>
  </si>
  <si>
    <t>Березкинское</t>
  </si>
  <si>
    <t>92622411</t>
  </si>
  <si>
    <t>347</t>
  </si>
  <si>
    <t>Бирюлинское</t>
  </si>
  <si>
    <t>92622412</t>
  </si>
  <si>
    <t>348</t>
  </si>
  <si>
    <t>Большебитаманское</t>
  </si>
  <si>
    <t>92622415</t>
  </si>
  <si>
    <t>349</t>
  </si>
  <si>
    <t>Большековалинское</t>
  </si>
  <si>
    <t>92622421</t>
  </si>
  <si>
    <t>350</t>
  </si>
  <si>
    <t>351</t>
  </si>
  <si>
    <t>Высокогорское</t>
  </si>
  <si>
    <t>92622427</t>
  </si>
  <si>
    <t>352</t>
  </si>
  <si>
    <t>Дачное</t>
  </si>
  <si>
    <t>92622429</t>
  </si>
  <si>
    <t>353</t>
  </si>
  <si>
    <t>Дубъязское</t>
  </si>
  <si>
    <t>92622430</t>
  </si>
  <si>
    <t>354</t>
  </si>
  <si>
    <t>Иске-Казанское</t>
  </si>
  <si>
    <t>92622431</t>
  </si>
  <si>
    <t>355</t>
  </si>
  <si>
    <t>Казакларское</t>
  </si>
  <si>
    <t>92622434</t>
  </si>
  <si>
    <t>356</t>
  </si>
  <si>
    <t>Красносельское</t>
  </si>
  <si>
    <t>92622440</t>
  </si>
  <si>
    <t>357</t>
  </si>
  <si>
    <t>Куркачинское</t>
  </si>
  <si>
    <t>92622441</t>
  </si>
  <si>
    <t>358</t>
  </si>
  <si>
    <t>Мемдельское</t>
  </si>
  <si>
    <t>92622443</t>
  </si>
  <si>
    <t>359</t>
  </si>
  <si>
    <t>Мульминское</t>
  </si>
  <si>
    <t>92622446</t>
  </si>
  <si>
    <t>360</t>
  </si>
  <si>
    <t>Село-Алатское</t>
  </si>
  <si>
    <t>92622455</t>
  </si>
  <si>
    <t>361</t>
  </si>
  <si>
    <t>Семиозерское</t>
  </si>
  <si>
    <t>92622458</t>
  </si>
  <si>
    <t>362</t>
  </si>
  <si>
    <t>Суксинское</t>
  </si>
  <si>
    <t>92622462</t>
  </si>
  <si>
    <t>363</t>
  </si>
  <si>
    <t>Ташлы-Ковалинское</t>
  </si>
  <si>
    <t>92622464</t>
  </si>
  <si>
    <t>364</t>
  </si>
  <si>
    <t>Усадское</t>
  </si>
  <si>
    <t>92622467</t>
  </si>
  <si>
    <t>365</t>
  </si>
  <si>
    <t>Чепчуговское</t>
  </si>
  <si>
    <t>92622473</t>
  </si>
  <si>
    <t>366</t>
  </si>
  <si>
    <t>Чернышевское</t>
  </si>
  <si>
    <t>92622474</t>
  </si>
  <si>
    <t>367</t>
  </si>
  <si>
    <t>Шапшинское</t>
  </si>
  <si>
    <t>92622479</t>
  </si>
  <si>
    <t>368</t>
  </si>
  <si>
    <t>Ямашурминское</t>
  </si>
  <si>
    <t>92622485</t>
  </si>
  <si>
    <t>369</t>
  </si>
  <si>
    <t>Город Казань</t>
  </si>
  <si>
    <t>92701000</t>
  </si>
  <si>
    <t>городской округ</t>
  </si>
  <si>
    <t>370</t>
  </si>
  <si>
    <t>Город Набережные Челны</t>
  </si>
  <si>
    <t>92730000</t>
  </si>
  <si>
    <t>371</t>
  </si>
  <si>
    <t>Дрожжановский муниципальный район</t>
  </si>
  <si>
    <t>92624000</t>
  </si>
  <si>
    <t>Алешкин-Саплыкское</t>
  </si>
  <si>
    <t>92624405</t>
  </si>
  <si>
    <t>372</t>
  </si>
  <si>
    <t>Большеаксинское</t>
  </si>
  <si>
    <t>92624410</t>
  </si>
  <si>
    <t>373</t>
  </si>
  <si>
    <t>Большецильнинское</t>
  </si>
  <si>
    <t>92624415</t>
  </si>
  <si>
    <t>374</t>
  </si>
  <si>
    <t>Городищенское</t>
  </si>
  <si>
    <t>92624420</t>
  </si>
  <si>
    <t>375</t>
  </si>
  <si>
    <t>376</t>
  </si>
  <si>
    <t>Звездинское</t>
  </si>
  <si>
    <t>92624425</t>
  </si>
  <si>
    <t>377</t>
  </si>
  <si>
    <t>Малоцильнинское</t>
  </si>
  <si>
    <t>92624430</t>
  </si>
  <si>
    <t>378</t>
  </si>
  <si>
    <t>Марсовское</t>
  </si>
  <si>
    <t>92624435</t>
  </si>
  <si>
    <t>379</t>
  </si>
  <si>
    <t>Матакское</t>
  </si>
  <si>
    <t>92624440</t>
  </si>
  <si>
    <t>380</t>
  </si>
  <si>
    <t>Нижнечекурское</t>
  </si>
  <si>
    <t>92624445</t>
  </si>
  <si>
    <t>381</t>
  </si>
  <si>
    <t>Новобурундуковское</t>
  </si>
  <si>
    <t>92624450</t>
  </si>
  <si>
    <t>382</t>
  </si>
  <si>
    <t>Новоильмовское</t>
  </si>
  <si>
    <t>92624455</t>
  </si>
  <si>
    <t>383</t>
  </si>
  <si>
    <t>Новоишлинское</t>
  </si>
  <si>
    <t>92624460</t>
  </si>
  <si>
    <t>384</t>
  </si>
  <si>
    <t>Село-Убейское</t>
  </si>
  <si>
    <t>92624465</t>
  </si>
  <si>
    <t>385</t>
  </si>
  <si>
    <t>Стародрожжановское</t>
  </si>
  <si>
    <t>92624470</t>
  </si>
  <si>
    <t>386</t>
  </si>
  <si>
    <t>Старокакерлинское</t>
  </si>
  <si>
    <t>92624475</t>
  </si>
  <si>
    <t>387</t>
  </si>
  <si>
    <t>Старочукалинское</t>
  </si>
  <si>
    <t>92624480</t>
  </si>
  <si>
    <t>388</t>
  </si>
  <si>
    <t>Старошаймурзинское</t>
  </si>
  <si>
    <t>92624485</t>
  </si>
  <si>
    <t>389</t>
  </si>
  <si>
    <t>Чувашско-Дрожжановское</t>
  </si>
  <si>
    <t>92624490</t>
  </si>
  <si>
    <t>390</t>
  </si>
  <si>
    <t>Шланговское</t>
  </si>
  <si>
    <t>92624495</t>
  </si>
  <si>
    <t>391</t>
  </si>
  <si>
    <t>92626000</t>
  </si>
  <si>
    <t>92626401</t>
  </si>
  <si>
    <t>392</t>
  </si>
  <si>
    <t>Бехтеревское</t>
  </si>
  <si>
    <t>92626404</t>
  </si>
  <si>
    <t>393</t>
  </si>
  <si>
    <t>Большееловское</t>
  </si>
  <si>
    <t>92626412</t>
  </si>
  <si>
    <t>394</t>
  </si>
  <si>
    <t>Большекачкинское</t>
  </si>
  <si>
    <t>92626416</t>
  </si>
  <si>
    <t>395</t>
  </si>
  <si>
    <t>Большешурнякское</t>
  </si>
  <si>
    <t>92626420</t>
  </si>
  <si>
    <t>396</t>
  </si>
  <si>
    <t>398</t>
  </si>
  <si>
    <t>Костенеевское</t>
  </si>
  <si>
    <t>92626432</t>
  </si>
  <si>
    <t>399</t>
  </si>
  <si>
    <t>Лекаревское</t>
  </si>
  <si>
    <t>92626436</t>
  </si>
  <si>
    <t>400</t>
  </si>
  <si>
    <t>Мортовское</t>
  </si>
  <si>
    <t>92626444</t>
  </si>
  <si>
    <t>401</t>
  </si>
  <si>
    <t>Мурзихинское</t>
  </si>
  <si>
    <t>92626448</t>
  </si>
  <si>
    <t>402</t>
  </si>
  <si>
    <t>Поспеловское</t>
  </si>
  <si>
    <t>92626456</t>
  </si>
  <si>
    <t>403</t>
  </si>
  <si>
    <t>Старокуклюкское</t>
  </si>
  <si>
    <t>92626468</t>
  </si>
  <si>
    <t>404</t>
  </si>
  <si>
    <t>Староюрашское</t>
  </si>
  <si>
    <t>92626472</t>
  </si>
  <si>
    <t>405</t>
  </si>
  <si>
    <t>Танайское</t>
  </si>
  <si>
    <t>92626476</t>
  </si>
  <si>
    <t>406</t>
  </si>
  <si>
    <t>Татарско-Дюм-Дюмское</t>
  </si>
  <si>
    <t>92626478</t>
  </si>
  <si>
    <t>407</t>
  </si>
  <si>
    <t>Яковлевское</t>
  </si>
  <si>
    <t>92626492</t>
  </si>
  <si>
    <t>408</t>
  </si>
  <si>
    <t>Заинский муниципальный район</t>
  </si>
  <si>
    <t>92627000</t>
  </si>
  <si>
    <t>Аксаринское</t>
  </si>
  <si>
    <t>92627484</t>
  </si>
  <si>
    <t>409</t>
  </si>
  <si>
    <t>Александро-Слободское</t>
  </si>
  <si>
    <t>92627405</t>
  </si>
  <si>
    <t>410</t>
  </si>
  <si>
    <t>Багряжское</t>
  </si>
  <si>
    <t>92627415</t>
  </si>
  <si>
    <t>411</t>
  </si>
  <si>
    <t>Бегишевское</t>
  </si>
  <si>
    <t>92627420</t>
  </si>
  <si>
    <t>412</t>
  </si>
  <si>
    <t>Бухарайское</t>
  </si>
  <si>
    <t>92627425</t>
  </si>
  <si>
    <t>413</t>
  </si>
  <si>
    <t>Верхненалимское</t>
  </si>
  <si>
    <t>92627430</t>
  </si>
  <si>
    <t>414</t>
  </si>
  <si>
    <t>Верхнепинячинское</t>
  </si>
  <si>
    <t>92627432</t>
  </si>
  <si>
    <t>415</t>
  </si>
  <si>
    <t>Верхнешипкинское</t>
  </si>
  <si>
    <t>92627434</t>
  </si>
  <si>
    <t>416</t>
  </si>
  <si>
    <t>Город Заинск</t>
  </si>
  <si>
    <t>92627101</t>
  </si>
  <si>
    <t>417</t>
  </si>
  <si>
    <t>Гулькинское</t>
  </si>
  <si>
    <t>92627435</t>
  </si>
  <si>
    <t>418</t>
  </si>
  <si>
    <t>Дуртмунчинское</t>
  </si>
  <si>
    <t>92627444</t>
  </si>
  <si>
    <t>419</t>
  </si>
  <si>
    <t>420</t>
  </si>
  <si>
    <t>Кадыровское</t>
  </si>
  <si>
    <t>92627410</t>
  </si>
  <si>
    <t>421</t>
  </si>
  <si>
    <t>Нижнебишевское</t>
  </si>
  <si>
    <t>92627454</t>
  </si>
  <si>
    <t>422</t>
  </si>
  <si>
    <t>Новоспасское</t>
  </si>
  <si>
    <t>92627459</t>
  </si>
  <si>
    <t>423</t>
  </si>
  <si>
    <t>92627464</t>
  </si>
  <si>
    <t>424</t>
  </si>
  <si>
    <t>Поручиковское</t>
  </si>
  <si>
    <t>92627466</t>
  </si>
  <si>
    <t>425</t>
  </si>
  <si>
    <t>Савалеевское</t>
  </si>
  <si>
    <t>92627468</t>
  </si>
  <si>
    <t>426</t>
  </si>
  <si>
    <t>Сармаш-Башское</t>
  </si>
  <si>
    <t>92627476</t>
  </si>
  <si>
    <t>427</t>
  </si>
  <si>
    <t>Светлоозерское</t>
  </si>
  <si>
    <t>92627480</t>
  </si>
  <si>
    <t>428</t>
  </si>
  <si>
    <t>Старо-Мавринское</t>
  </si>
  <si>
    <t>92627481</t>
  </si>
  <si>
    <t>429</t>
  </si>
  <si>
    <t>Тюгеевское</t>
  </si>
  <si>
    <t>92627488</t>
  </si>
  <si>
    <t>430</t>
  </si>
  <si>
    <t>92627489</t>
  </si>
  <si>
    <t>431</t>
  </si>
  <si>
    <t>Чубуклинское</t>
  </si>
  <si>
    <t>92627490</t>
  </si>
  <si>
    <t>432</t>
  </si>
  <si>
    <t>Зеленодольский муниципальный район</t>
  </si>
  <si>
    <t>92628000</t>
  </si>
  <si>
    <t>Айшинское</t>
  </si>
  <si>
    <t>92628404</t>
  </si>
  <si>
    <t>433</t>
  </si>
  <si>
    <t>Акзигитовское</t>
  </si>
  <si>
    <t>92628408</t>
  </si>
  <si>
    <t>434</t>
  </si>
  <si>
    <t>Бишнинское</t>
  </si>
  <si>
    <t>92628416</t>
  </si>
  <si>
    <t>435</t>
  </si>
  <si>
    <t>Большеачасырское</t>
  </si>
  <si>
    <t>92628412</t>
  </si>
  <si>
    <t>436</t>
  </si>
  <si>
    <t>Большеключинское</t>
  </si>
  <si>
    <t>92628420</t>
  </si>
  <si>
    <t>437</t>
  </si>
  <si>
    <t>Большекургузинское</t>
  </si>
  <si>
    <t>92628424</t>
  </si>
  <si>
    <t>438</t>
  </si>
  <si>
    <t>Большеширданское</t>
  </si>
  <si>
    <t>92628432</t>
  </si>
  <si>
    <t>439</t>
  </si>
  <si>
    <t>Большеякинское</t>
  </si>
  <si>
    <t>92628488</t>
  </si>
  <si>
    <t>440</t>
  </si>
  <si>
    <t>Город Зеленодольск</t>
  </si>
  <si>
    <t>92628101</t>
  </si>
  <si>
    <t>441</t>
  </si>
  <si>
    <t>442</t>
  </si>
  <si>
    <t>Кугеевское</t>
  </si>
  <si>
    <t>92628442</t>
  </si>
  <si>
    <t>443</t>
  </si>
  <si>
    <t>Кугушевское</t>
  </si>
  <si>
    <t>92628444</t>
  </si>
  <si>
    <t>444</t>
  </si>
  <si>
    <t>Мамадыш-Акиловское</t>
  </si>
  <si>
    <t>92628448</t>
  </si>
  <si>
    <t>445</t>
  </si>
  <si>
    <t>Молвинское</t>
  </si>
  <si>
    <t>92628454</t>
  </si>
  <si>
    <t>446</t>
  </si>
  <si>
    <t>Нижнеураспугинское</t>
  </si>
  <si>
    <t>92628456</t>
  </si>
  <si>
    <t>447</t>
  </si>
  <si>
    <t>Новопольское</t>
  </si>
  <si>
    <t>92628460</t>
  </si>
  <si>
    <t>448</t>
  </si>
  <si>
    <t>92628464</t>
  </si>
  <si>
    <t>449</t>
  </si>
  <si>
    <t>92628468</t>
  </si>
  <si>
    <t>450</t>
  </si>
  <si>
    <t>Осиновское</t>
  </si>
  <si>
    <t>92628472</t>
  </si>
  <si>
    <t>451</t>
  </si>
  <si>
    <t>Раифское</t>
  </si>
  <si>
    <t>92628474</t>
  </si>
  <si>
    <t>452</t>
  </si>
  <si>
    <t>Русско-Азелеевское</t>
  </si>
  <si>
    <t>92628476</t>
  </si>
  <si>
    <t>453</t>
  </si>
  <si>
    <t>Свияжское</t>
  </si>
  <si>
    <t>92628477</t>
  </si>
  <si>
    <t>454</t>
  </si>
  <si>
    <t>Утяшкинское</t>
  </si>
  <si>
    <t>92628436</t>
  </si>
  <si>
    <t>455</t>
  </si>
  <si>
    <t>поселок городского типа Васильево</t>
  </si>
  <si>
    <t>92628155</t>
  </si>
  <si>
    <t>456</t>
  </si>
  <si>
    <t>поселок городского типа Нижние Вязовые</t>
  </si>
  <si>
    <t>92628162</t>
  </si>
  <si>
    <t>457</t>
  </si>
  <si>
    <t>Кайбицкий муниципальный район</t>
  </si>
  <si>
    <t>92629000</t>
  </si>
  <si>
    <t>Багаевское</t>
  </si>
  <si>
    <t>92629405</t>
  </si>
  <si>
    <t>458</t>
  </si>
  <si>
    <t>Большекайбицкое</t>
  </si>
  <si>
    <t>92629408</t>
  </si>
  <si>
    <t>459</t>
  </si>
  <si>
    <t>Большеподберезинское</t>
  </si>
  <si>
    <t>92629409</t>
  </si>
  <si>
    <t>460</t>
  </si>
  <si>
    <t>Большерусаковское</t>
  </si>
  <si>
    <t>92629410</t>
  </si>
  <si>
    <t>461</t>
  </si>
  <si>
    <t>Бурундуковское</t>
  </si>
  <si>
    <t>92629412</t>
  </si>
  <si>
    <t>462</t>
  </si>
  <si>
    <t>463</t>
  </si>
  <si>
    <t>Кулангинское</t>
  </si>
  <si>
    <t>92629423</t>
  </si>
  <si>
    <t>464</t>
  </si>
  <si>
    <t>Кушманское</t>
  </si>
  <si>
    <t>92629426</t>
  </si>
  <si>
    <t>465</t>
  </si>
  <si>
    <t>Маломеминское</t>
  </si>
  <si>
    <t>92629428</t>
  </si>
  <si>
    <t>466</t>
  </si>
  <si>
    <t>Молькеевское</t>
  </si>
  <si>
    <t>92629430</t>
  </si>
  <si>
    <t>467</t>
  </si>
  <si>
    <t>Муралинское</t>
  </si>
  <si>
    <t>92629432</t>
  </si>
  <si>
    <t>468</t>
  </si>
  <si>
    <t>Надеждинское</t>
  </si>
  <si>
    <t>92629435</t>
  </si>
  <si>
    <t>469</t>
  </si>
  <si>
    <t>Старотябердинское</t>
  </si>
  <si>
    <t>92629445</t>
  </si>
  <si>
    <t>470</t>
  </si>
  <si>
    <t>Ульянковское</t>
  </si>
  <si>
    <t>92629447</t>
  </si>
  <si>
    <t>471</t>
  </si>
  <si>
    <t>Федоровское</t>
  </si>
  <si>
    <t>92629450</t>
  </si>
  <si>
    <t>472</t>
  </si>
  <si>
    <t>Хозесановское</t>
  </si>
  <si>
    <t>92629455</t>
  </si>
  <si>
    <t>473</t>
  </si>
  <si>
    <t>Чутеевское</t>
  </si>
  <si>
    <t>92629460</t>
  </si>
  <si>
    <t>474</t>
  </si>
  <si>
    <t>Эбалаковское</t>
  </si>
  <si>
    <t>92629465</t>
  </si>
  <si>
    <t>475</t>
  </si>
  <si>
    <t>Камско-Устьинский муниципальный район</t>
  </si>
  <si>
    <t>92630000</t>
  </si>
  <si>
    <t>92630403</t>
  </si>
  <si>
    <t>476</t>
  </si>
  <si>
    <t>Большебуртасское</t>
  </si>
  <si>
    <t>92630405</t>
  </si>
  <si>
    <t>477</t>
  </si>
  <si>
    <t>Большекармалинское</t>
  </si>
  <si>
    <t>92630410</t>
  </si>
  <si>
    <t>478</t>
  </si>
  <si>
    <t>Большекляринское</t>
  </si>
  <si>
    <t>92630415</t>
  </si>
  <si>
    <t>479</t>
  </si>
  <si>
    <t>Большесалтыковское</t>
  </si>
  <si>
    <t>92630420</t>
  </si>
  <si>
    <t>480</t>
  </si>
  <si>
    <t>Варваринское</t>
  </si>
  <si>
    <t>92630425</t>
  </si>
  <si>
    <t>481</t>
  </si>
  <si>
    <t>482</t>
  </si>
  <si>
    <t>Кирельское</t>
  </si>
  <si>
    <t>92630430</t>
  </si>
  <si>
    <t>483</t>
  </si>
  <si>
    <t>Клянчеевское</t>
  </si>
  <si>
    <t>92630435</t>
  </si>
  <si>
    <t>484</t>
  </si>
  <si>
    <t>Красновидовское</t>
  </si>
  <si>
    <t>92630440</t>
  </si>
  <si>
    <t>485</t>
  </si>
  <si>
    <t>Малосалтыковское</t>
  </si>
  <si>
    <t>92630445</t>
  </si>
  <si>
    <t>486</t>
  </si>
  <si>
    <t>Осинниковское</t>
  </si>
  <si>
    <t>92630447</t>
  </si>
  <si>
    <t>487</t>
  </si>
  <si>
    <t>Старобарышевское</t>
  </si>
  <si>
    <t>92630450</t>
  </si>
  <si>
    <t>488</t>
  </si>
  <si>
    <t>Староказеевское</t>
  </si>
  <si>
    <t>92630455</t>
  </si>
  <si>
    <t>489</t>
  </si>
  <si>
    <t>Сюкеевское</t>
  </si>
  <si>
    <t>92630460</t>
  </si>
  <si>
    <t>490</t>
  </si>
  <si>
    <t>Теньковское</t>
  </si>
  <si>
    <t>92630465</t>
  </si>
  <si>
    <t>491</t>
  </si>
  <si>
    <t>Уразлинское</t>
  </si>
  <si>
    <t>92630470</t>
  </si>
  <si>
    <t>492</t>
  </si>
  <si>
    <t>Янгасалское</t>
  </si>
  <si>
    <t>92630475</t>
  </si>
  <si>
    <t>493</t>
  </si>
  <si>
    <t>поселок городского типа Камское Устье</t>
  </si>
  <si>
    <t>92630151</t>
  </si>
  <si>
    <t>494</t>
  </si>
  <si>
    <t>поселок городского типа Куйбышевский Затон</t>
  </si>
  <si>
    <t>92630157</t>
  </si>
  <si>
    <t>495</t>
  </si>
  <si>
    <t>поселок городского типа Тенишево</t>
  </si>
  <si>
    <t>92630165</t>
  </si>
  <si>
    <t>496</t>
  </si>
  <si>
    <t>Кукморский муниципальный район</t>
  </si>
  <si>
    <t>92633000</t>
  </si>
  <si>
    <t>Байлянгарское</t>
  </si>
  <si>
    <t>92633404</t>
  </si>
  <si>
    <t>497</t>
  </si>
  <si>
    <t>Березнякское</t>
  </si>
  <si>
    <t>92633408</t>
  </si>
  <si>
    <t>498</t>
  </si>
  <si>
    <t>Большекукморское</t>
  </si>
  <si>
    <t>92633412</t>
  </si>
  <si>
    <t>499</t>
  </si>
  <si>
    <t>Большесардекское</t>
  </si>
  <si>
    <t>92633416</t>
  </si>
  <si>
    <t>500</t>
  </si>
  <si>
    <t>Важашурское</t>
  </si>
  <si>
    <t>92633420</t>
  </si>
  <si>
    <t>501</t>
  </si>
  <si>
    <t>Каенсарское</t>
  </si>
  <si>
    <t>92633423</t>
  </si>
  <si>
    <t>502</t>
  </si>
  <si>
    <t>Каркаусское</t>
  </si>
  <si>
    <t>92633424</t>
  </si>
  <si>
    <t>503</t>
  </si>
  <si>
    <t>92633428</t>
  </si>
  <si>
    <t>504</t>
  </si>
  <si>
    <t>505</t>
  </si>
  <si>
    <t>Лельвижское</t>
  </si>
  <si>
    <t>92633429</t>
  </si>
  <si>
    <t>506</t>
  </si>
  <si>
    <t>Лубянское</t>
  </si>
  <si>
    <t>92633434</t>
  </si>
  <si>
    <t>507</t>
  </si>
  <si>
    <t>Мамаширское</t>
  </si>
  <si>
    <t>92633430</t>
  </si>
  <si>
    <t>508</t>
  </si>
  <si>
    <t>Манзарасское</t>
  </si>
  <si>
    <t>92633432</t>
  </si>
  <si>
    <t>509</t>
  </si>
  <si>
    <t>Нижнеискубашское</t>
  </si>
  <si>
    <t>92633436</t>
  </si>
  <si>
    <t>510</t>
  </si>
  <si>
    <t>Нижнерусское</t>
  </si>
  <si>
    <t>92633440</t>
  </si>
  <si>
    <t>511</t>
  </si>
  <si>
    <t>Ныртинское</t>
  </si>
  <si>
    <t>92633444</t>
  </si>
  <si>
    <t>512</t>
  </si>
  <si>
    <t>Нырьинское</t>
  </si>
  <si>
    <t>92633448</t>
  </si>
  <si>
    <t>513</t>
  </si>
  <si>
    <t>Олуязское</t>
  </si>
  <si>
    <t>92633452</t>
  </si>
  <si>
    <t>514</t>
  </si>
  <si>
    <t>Ошторма-Юмьинское</t>
  </si>
  <si>
    <t>92633456</t>
  </si>
  <si>
    <t>515</t>
  </si>
  <si>
    <t>Починок-Кучуковское</t>
  </si>
  <si>
    <t>92633460</t>
  </si>
  <si>
    <t>516</t>
  </si>
  <si>
    <t>Псякское</t>
  </si>
  <si>
    <t>92633464</t>
  </si>
  <si>
    <t>517</t>
  </si>
  <si>
    <t>Сардекбашское</t>
  </si>
  <si>
    <t>92633468</t>
  </si>
  <si>
    <t>518</t>
  </si>
  <si>
    <t>Село-Чуринское</t>
  </si>
  <si>
    <t>92633472</t>
  </si>
  <si>
    <t>519</t>
  </si>
  <si>
    <t>Среднекуморское</t>
  </si>
  <si>
    <t>92633476</t>
  </si>
  <si>
    <t>520</t>
  </si>
  <si>
    <t>Туембашское</t>
  </si>
  <si>
    <t>92633477</t>
  </si>
  <si>
    <t>521</t>
  </si>
  <si>
    <t>Уркушское</t>
  </si>
  <si>
    <t>92633478</t>
  </si>
  <si>
    <t>522</t>
  </si>
  <si>
    <t>Чарлинское</t>
  </si>
  <si>
    <t>92633480</t>
  </si>
  <si>
    <t>523</t>
  </si>
  <si>
    <t>Ядыгерьское</t>
  </si>
  <si>
    <t>92633484</t>
  </si>
  <si>
    <t>524</t>
  </si>
  <si>
    <t>Яныльское</t>
  </si>
  <si>
    <t>92633488</t>
  </si>
  <si>
    <t>525</t>
  </si>
  <si>
    <t>Ятмас-Дусаевское</t>
  </si>
  <si>
    <t>92633490</t>
  </si>
  <si>
    <t>526</t>
  </si>
  <si>
    <t>город Кукмор</t>
  </si>
  <si>
    <t>92633101</t>
  </si>
  <si>
    <t>527</t>
  </si>
  <si>
    <t>Лаишевский муниципальный район</t>
  </si>
  <si>
    <t>92634000</t>
  </si>
  <si>
    <t>92634404</t>
  </si>
  <si>
    <t>528</t>
  </si>
  <si>
    <t>Атабаевское</t>
  </si>
  <si>
    <t>92634408</t>
  </si>
  <si>
    <t>529</t>
  </si>
  <si>
    <t>Большекабанское</t>
  </si>
  <si>
    <t>92634412</t>
  </si>
  <si>
    <t>530</t>
  </si>
  <si>
    <t>Габишевское</t>
  </si>
  <si>
    <t>92634414</t>
  </si>
  <si>
    <t>531</t>
  </si>
  <si>
    <t>Город Лаишево</t>
  </si>
  <si>
    <t>92634101</t>
  </si>
  <si>
    <t>532</t>
  </si>
  <si>
    <t>Державинское</t>
  </si>
  <si>
    <t>92634415</t>
  </si>
  <si>
    <t>533</t>
  </si>
  <si>
    <t>Егорьевское</t>
  </si>
  <si>
    <t>92634416</t>
  </si>
  <si>
    <t>534</t>
  </si>
  <si>
    <t>Кирбинское</t>
  </si>
  <si>
    <t>92634428</t>
  </si>
  <si>
    <t>535</t>
  </si>
  <si>
    <t>Куюковское</t>
  </si>
  <si>
    <t>92634432</t>
  </si>
  <si>
    <t>536</t>
  </si>
  <si>
    <t>537</t>
  </si>
  <si>
    <t>Макаровское</t>
  </si>
  <si>
    <t>92634436</t>
  </si>
  <si>
    <t>538</t>
  </si>
  <si>
    <t>Малоелгинское</t>
  </si>
  <si>
    <t>92634440</t>
  </si>
  <si>
    <t>539</t>
  </si>
  <si>
    <t>Матюшинское</t>
  </si>
  <si>
    <t>92634442</t>
  </si>
  <si>
    <t>540</t>
  </si>
  <si>
    <t>Нармонское</t>
  </si>
  <si>
    <t>92634444</t>
  </si>
  <si>
    <t>541</t>
  </si>
  <si>
    <t>Никольское</t>
  </si>
  <si>
    <t>92634448</t>
  </si>
  <si>
    <t>542</t>
  </si>
  <si>
    <t>Орловское</t>
  </si>
  <si>
    <t>92634484</t>
  </si>
  <si>
    <t>543</t>
  </si>
  <si>
    <t>Пелевское</t>
  </si>
  <si>
    <t>92634452</t>
  </si>
  <si>
    <t>544</t>
  </si>
  <si>
    <t>Песчано-Ковалинское</t>
  </si>
  <si>
    <t>92634456</t>
  </si>
  <si>
    <t>545</t>
  </si>
  <si>
    <t>Рождественское</t>
  </si>
  <si>
    <t>92634460</t>
  </si>
  <si>
    <t>546</t>
  </si>
  <si>
    <t>Сокуровское</t>
  </si>
  <si>
    <t>92634468</t>
  </si>
  <si>
    <t>547</t>
  </si>
  <si>
    <t>Среднедевятовское</t>
  </si>
  <si>
    <t>92634472</t>
  </si>
  <si>
    <t>548</t>
  </si>
  <si>
    <t>Столбищенское</t>
  </si>
  <si>
    <t>92634480</t>
  </si>
  <si>
    <t>549</t>
  </si>
  <si>
    <t>Татарско-Сараловское</t>
  </si>
  <si>
    <t>92634486</t>
  </si>
  <si>
    <t>550</t>
  </si>
  <si>
    <t>Татарско-Янтыкское</t>
  </si>
  <si>
    <t>92634488</t>
  </si>
  <si>
    <t>551</t>
  </si>
  <si>
    <t>Чирповское</t>
  </si>
  <si>
    <t>92634492</t>
  </si>
  <si>
    <t>552</t>
  </si>
  <si>
    <t>Лениногорский муниципальный район</t>
  </si>
  <si>
    <t>92636000</t>
  </si>
  <si>
    <t>Глазовское</t>
  </si>
  <si>
    <t>92636405</t>
  </si>
  <si>
    <t>553</t>
  </si>
  <si>
    <t>Город Лениногорск</t>
  </si>
  <si>
    <t>92636101</t>
  </si>
  <si>
    <t>554</t>
  </si>
  <si>
    <t>Зай-Каратайское</t>
  </si>
  <si>
    <t>92636410</t>
  </si>
  <si>
    <t>555</t>
  </si>
  <si>
    <t>92636412</t>
  </si>
  <si>
    <t>556</t>
  </si>
  <si>
    <t>Ивановское</t>
  </si>
  <si>
    <t>92636415</t>
  </si>
  <si>
    <t>557</t>
  </si>
  <si>
    <t>Каркалинское</t>
  </si>
  <si>
    <t>92636418</t>
  </si>
  <si>
    <t>558</t>
  </si>
  <si>
    <t>Кармалкинское</t>
  </si>
  <si>
    <t>92636419</t>
  </si>
  <si>
    <t>559</t>
  </si>
  <si>
    <t>Керлигачское</t>
  </si>
  <si>
    <t>92636420</t>
  </si>
  <si>
    <t>560</t>
  </si>
  <si>
    <t>Куакбашское</t>
  </si>
  <si>
    <t>92636425</t>
  </si>
  <si>
    <t>561</t>
  </si>
  <si>
    <t>562</t>
  </si>
  <si>
    <t>Мичуринское</t>
  </si>
  <si>
    <t>92636435</t>
  </si>
  <si>
    <t>563</t>
  </si>
  <si>
    <t>Мукмин-Каратайское</t>
  </si>
  <si>
    <t>92636437</t>
  </si>
  <si>
    <t>564</t>
  </si>
  <si>
    <t>Нижнечершилинское</t>
  </si>
  <si>
    <t>92636440</t>
  </si>
  <si>
    <t>565</t>
  </si>
  <si>
    <t>Новоиштерякское</t>
  </si>
  <si>
    <t>92636445</t>
  </si>
  <si>
    <t>566</t>
  </si>
  <si>
    <t>Новочершилинское</t>
  </si>
  <si>
    <t>92636447</t>
  </si>
  <si>
    <t>567</t>
  </si>
  <si>
    <t>Письмянское</t>
  </si>
  <si>
    <t>92636450</t>
  </si>
  <si>
    <t>568</t>
  </si>
  <si>
    <t>Сарабикуловское</t>
  </si>
  <si>
    <t>92636455</t>
  </si>
  <si>
    <t>569</t>
  </si>
  <si>
    <t>Староиштерякское</t>
  </si>
  <si>
    <t>92636460</t>
  </si>
  <si>
    <t>570</t>
  </si>
  <si>
    <t>Старокувакское</t>
  </si>
  <si>
    <t>92636465</t>
  </si>
  <si>
    <t>571</t>
  </si>
  <si>
    <t>Старошугуровское</t>
  </si>
  <si>
    <t>92636470</t>
  </si>
  <si>
    <t>572</t>
  </si>
  <si>
    <t>Сугушлинское</t>
  </si>
  <si>
    <t>92636475</t>
  </si>
  <si>
    <t>573</t>
  </si>
  <si>
    <t>Тимяшевское</t>
  </si>
  <si>
    <t>92636480</t>
  </si>
  <si>
    <t>574</t>
  </si>
  <si>
    <t>Туктарово-Урдалинское</t>
  </si>
  <si>
    <t>92636485</t>
  </si>
  <si>
    <t>575</t>
  </si>
  <si>
    <t>Урмышлинское</t>
  </si>
  <si>
    <t>92636490</t>
  </si>
  <si>
    <t>576</t>
  </si>
  <si>
    <t>Федотовское</t>
  </si>
  <si>
    <t>92636495</t>
  </si>
  <si>
    <t>577</t>
  </si>
  <si>
    <t>Шугуровское</t>
  </si>
  <si>
    <t>92636497</t>
  </si>
  <si>
    <t>578</t>
  </si>
  <si>
    <t>Мамадышский муниципальный район</t>
  </si>
  <si>
    <t>92638000</t>
  </si>
  <si>
    <t>Албайское</t>
  </si>
  <si>
    <t>92638403</t>
  </si>
  <si>
    <t>579</t>
  </si>
  <si>
    <t>Верхнеошминское</t>
  </si>
  <si>
    <t>92638406</t>
  </si>
  <si>
    <t>580</t>
  </si>
  <si>
    <t>Город Мамадыш</t>
  </si>
  <si>
    <t>92638101</t>
  </si>
  <si>
    <t>581</t>
  </si>
  <si>
    <t>Дюсьметьевское</t>
  </si>
  <si>
    <t>92638415</t>
  </si>
  <si>
    <t>582</t>
  </si>
  <si>
    <t>Ишкеевское</t>
  </si>
  <si>
    <t>92638418</t>
  </si>
  <si>
    <t>583</t>
  </si>
  <si>
    <t>Катмышское</t>
  </si>
  <si>
    <t>92638421</t>
  </si>
  <si>
    <t>584</t>
  </si>
  <si>
    <t>Кемеш-Кульское</t>
  </si>
  <si>
    <t>92638424</t>
  </si>
  <si>
    <t>585</t>
  </si>
  <si>
    <t>Кляушское</t>
  </si>
  <si>
    <t>92638427</t>
  </si>
  <si>
    <t>586</t>
  </si>
  <si>
    <t>Красногорское</t>
  </si>
  <si>
    <t>92638430</t>
  </si>
  <si>
    <t>587</t>
  </si>
  <si>
    <t>Куюк-Ерыксинское</t>
  </si>
  <si>
    <t>92638436</t>
  </si>
  <si>
    <t>588</t>
  </si>
  <si>
    <t>Малокирменское</t>
  </si>
  <si>
    <t>92638442</t>
  </si>
  <si>
    <t>589</t>
  </si>
  <si>
    <t>590</t>
  </si>
  <si>
    <t>Нижнеошминское</t>
  </si>
  <si>
    <t>92638448</t>
  </si>
  <si>
    <t>591</t>
  </si>
  <si>
    <t>Нижнесуньское</t>
  </si>
  <si>
    <t>92638451</t>
  </si>
  <si>
    <t>592</t>
  </si>
  <si>
    <t>Нижнетаканышское</t>
  </si>
  <si>
    <t>92638454</t>
  </si>
  <si>
    <t>593</t>
  </si>
  <si>
    <t>Нижнешандерское</t>
  </si>
  <si>
    <t>92638457</t>
  </si>
  <si>
    <t>594</t>
  </si>
  <si>
    <t>Никифоровское</t>
  </si>
  <si>
    <t>92638460</t>
  </si>
  <si>
    <t>595</t>
  </si>
  <si>
    <t>92638463</t>
  </si>
  <si>
    <t>596</t>
  </si>
  <si>
    <t>Омарское</t>
  </si>
  <si>
    <t>92638466</t>
  </si>
  <si>
    <t>597</t>
  </si>
  <si>
    <t>Отарское</t>
  </si>
  <si>
    <t>92638469</t>
  </si>
  <si>
    <t>598</t>
  </si>
  <si>
    <t>Сокольское</t>
  </si>
  <si>
    <t>92638475</t>
  </si>
  <si>
    <t>599</t>
  </si>
  <si>
    <t>Среднекирменское</t>
  </si>
  <si>
    <t>92638478</t>
  </si>
  <si>
    <t>600</t>
  </si>
  <si>
    <t>Суньское</t>
  </si>
  <si>
    <t>92638480</t>
  </si>
  <si>
    <t>601</t>
  </si>
  <si>
    <t>Тавельское</t>
  </si>
  <si>
    <t>92638481</t>
  </si>
  <si>
    <t>602</t>
  </si>
  <si>
    <t>Уразбахтинское</t>
  </si>
  <si>
    <t>92638484</t>
  </si>
  <si>
    <t>603</t>
  </si>
  <si>
    <t>Урманчеевское</t>
  </si>
  <si>
    <t>92638487</t>
  </si>
  <si>
    <t>604</t>
  </si>
  <si>
    <t>Усалинское</t>
  </si>
  <si>
    <t>92638490</t>
  </si>
  <si>
    <t>605</t>
  </si>
  <si>
    <t>Шадчинское</t>
  </si>
  <si>
    <t>92638493</t>
  </si>
  <si>
    <t>606</t>
  </si>
  <si>
    <t>Шемяковское</t>
  </si>
  <si>
    <t>92638495</t>
  </si>
  <si>
    <t>607</t>
  </si>
  <si>
    <t>Якинское</t>
  </si>
  <si>
    <t>92638498</t>
  </si>
  <si>
    <t>608</t>
  </si>
  <si>
    <t>Менделеевский муниципальный район</t>
  </si>
  <si>
    <t>92639000</t>
  </si>
  <si>
    <t>Абалачевское</t>
  </si>
  <si>
    <t>92639403</t>
  </si>
  <si>
    <t>609</t>
  </si>
  <si>
    <t>Бизякинское</t>
  </si>
  <si>
    <t>92639410</t>
  </si>
  <si>
    <t>610</t>
  </si>
  <si>
    <t>Брюшлинское</t>
  </si>
  <si>
    <t>92639415</t>
  </si>
  <si>
    <t>611</t>
  </si>
  <si>
    <t>Город Менделеевск</t>
  </si>
  <si>
    <t>92639101</t>
  </si>
  <si>
    <t>612</t>
  </si>
  <si>
    <t>Енабердинское</t>
  </si>
  <si>
    <t>92639418</t>
  </si>
  <si>
    <t>613</t>
  </si>
  <si>
    <t>Ижевское</t>
  </si>
  <si>
    <t>92639423</t>
  </si>
  <si>
    <t>614</t>
  </si>
  <si>
    <t>Камаевское</t>
  </si>
  <si>
    <t>92639428</t>
  </si>
  <si>
    <t>615</t>
  </si>
  <si>
    <t>616</t>
  </si>
  <si>
    <t>Монашевское</t>
  </si>
  <si>
    <t>92639440</t>
  </si>
  <si>
    <t>617</t>
  </si>
  <si>
    <t>Мунайкинское</t>
  </si>
  <si>
    <t>92639441</t>
  </si>
  <si>
    <t>618</t>
  </si>
  <si>
    <t>Псеевское</t>
  </si>
  <si>
    <t>92639443</t>
  </si>
  <si>
    <t>619</t>
  </si>
  <si>
    <t>Старогришкинское</t>
  </si>
  <si>
    <t>92639464</t>
  </si>
  <si>
    <t>620</t>
  </si>
  <si>
    <t>Татарско-Челнинское</t>
  </si>
  <si>
    <t>92639480</t>
  </si>
  <si>
    <t>621</t>
  </si>
  <si>
    <t>Тихоновское</t>
  </si>
  <si>
    <t>92639483</t>
  </si>
  <si>
    <t>622</t>
  </si>
  <si>
    <t>Тойгузинское</t>
  </si>
  <si>
    <t>92639485</t>
  </si>
  <si>
    <t>623</t>
  </si>
  <si>
    <t>Тураевское</t>
  </si>
  <si>
    <t>92639488</t>
  </si>
  <si>
    <t>624</t>
  </si>
  <si>
    <t>Мензелинский муниципальный район</t>
  </si>
  <si>
    <t>92640000</t>
  </si>
  <si>
    <t>Атряклинское</t>
  </si>
  <si>
    <t>92640404</t>
  </si>
  <si>
    <t>625</t>
  </si>
  <si>
    <t>Аюское</t>
  </si>
  <si>
    <t>92640408</t>
  </si>
  <si>
    <t>626</t>
  </si>
  <si>
    <t>Бикбуловское</t>
  </si>
  <si>
    <t>92640412</t>
  </si>
  <si>
    <t>627</t>
  </si>
  <si>
    <t>Верхнетакерменское</t>
  </si>
  <si>
    <t>92640416</t>
  </si>
  <si>
    <t>628</t>
  </si>
  <si>
    <t>Город Мензелинск</t>
  </si>
  <si>
    <t>92640101</t>
  </si>
  <si>
    <t>629</t>
  </si>
  <si>
    <t>Иркеняшское</t>
  </si>
  <si>
    <t>92640428</t>
  </si>
  <si>
    <t>630</t>
  </si>
  <si>
    <t>92640432</t>
  </si>
  <si>
    <t>631</t>
  </si>
  <si>
    <t>Коноваловское</t>
  </si>
  <si>
    <t>92640440</t>
  </si>
  <si>
    <t>632</t>
  </si>
  <si>
    <t>Кузембетьевское</t>
  </si>
  <si>
    <t>92640444</t>
  </si>
  <si>
    <t>633</t>
  </si>
  <si>
    <t>634</t>
  </si>
  <si>
    <t>Наратлы-Кичуское</t>
  </si>
  <si>
    <t>92640455</t>
  </si>
  <si>
    <t>635</t>
  </si>
  <si>
    <t>Николаевское</t>
  </si>
  <si>
    <t>92640457</t>
  </si>
  <si>
    <t>636</t>
  </si>
  <si>
    <t>Новомазинское</t>
  </si>
  <si>
    <t>92640459</t>
  </si>
  <si>
    <t>637</t>
  </si>
  <si>
    <t>Новомелькенское</t>
  </si>
  <si>
    <t>92640461</t>
  </si>
  <si>
    <t>638</t>
  </si>
  <si>
    <t>Подгорно-Байларское</t>
  </si>
  <si>
    <t>92640463</t>
  </si>
  <si>
    <t>639</t>
  </si>
  <si>
    <t>Старомазинское</t>
  </si>
  <si>
    <t>92640478</t>
  </si>
  <si>
    <t>640</t>
  </si>
  <si>
    <t>Староматвеевское</t>
  </si>
  <si>
    <t>92640481</t>
  </si>
  <si>
    <t>641</t>
  </si>
  <si>
    <t>Урусовское</t>
  </si>
  <si>
    <t>92640492</t>
  </si>
  <si>
    <t>642</t>
  </si>
  <si>
    <t>Юртовское</t>
  </si>
  <si>
    <t>92640494</t>
  </si>
  <si>
    <t>643</t>
  </si>
  <si>
    <t>Юшадинское</t>
  </si>
  <si>
    <t>92640496</t>
  </si>
  <si>
    <t>644</t>
  </si>
  <si>
    <t>им Воровского</t>
  </si>
  <si>
    <t>92640424</t>
  </si>
  <si>
    <t>645</t>
  </si>
  <si>
    <t>Муслюмовский муниципальный район</t>
  </si>
  <si>
    <t>92642000</t>
  </si>
  <si>
    <t>Амикеевское</t>
  </si>
  <si>
    <t>92642405</t>
  </si>
  <si>
    <t>646</t>
  </si>
  <si>
    <t>Баланнинское</t>
  </si>
  <si>
    <t>92642410</t>
  </si>
  <si>
    <t>647</t>
  </si>
  <si>
    <t>Баюковское</t>
  </si>
  <si>
    <t>92642415</t>
  </si>
  <si>
    <t>648</t>
  </si>
  <si>
    <t>Большечекмакское</t>
  </si>
  <si>
    <t>92642416</t>
  </si>
  <si>
    <t>649</t>
  </si>
  <si>
    <t>Варяш-Башское</t>
  </si>
  <si>
    <t>92642417</t>
  </si>
  <si>
    <t>650</t>
  </si>
  <si>
    <t>Исансуповское</t>
  </si>
  <si>
    <t>92642420</t>
  </si>
  <si>
    <t>651</t>
  </si>
  <si>
    <t>Кряш-Шуранское</t>
  </si>
  <si>
    <t>92642425</t>
  </si>
  <si>
    <t>652</t>
  </si>
  <si>
    <t>Мелля-Тамакское</t>
  </si>
  <si>
    <t>92642430</t>
  </si>
  <si>
    <t>653</t>
  </si>
  <si>
    <t>Митряевское</t>
  </si>
  <si>
    <t>92642435</t>
  </si>
  <si>
    <t>654</t>
  </si>
  <si>
    <t>Михайловское</t>
  </si>
  <si>
    <t>92642440</t>
  </si>
  <si>
    <t>655</t>
  </si>
  <si>
    <t>656</t>
  </si>
  <si>
    <t>Муслюмовское</t>
  </si>
  <si>
    <t>92642443</t>
  </si>
  <si>
    <t>657</t>
  </si>
  <si>
    <t>Нижнетабынское</t>
  </si>
  <si>
    <t>92642450</t>
  </si>
  <si>
    <t>658</t>
  </si>
  <si>
    <t>Новоусинское</t>
  </si>
  <si>
    <t>92642455</t>
  </si>
  <si>
    <t>659</t>
  </si>
  <si>
    <t>92642460</t>
  </si>
  <si>
    <t>660</t>
  </si>
  <si>
    <t>Семяковское</t>
  </si>
  <si>
    <t>92642465</t>
  </si>
  <si>
    <t>661</t>
  </si>
  <si>
    <t>Старокарамалинское</t>
  </si>
  <si>
    <t>92642470</t>
  </si>
  <si>
    <t>662</t>
  </si>
  <si>
    <t>Тойгильдинское</t>
  </si>
  <si>
    <t>92642475</t>
  </si>
  <si>
    <t>663</t>
  </si>
  <si>
    <t>Уразметьевское</t>
  </si>
  <si>
    <t>92642480</t>
  </si>
  <si>
    <t>664</t>
  </si>
  <si>
    <t>Шуганское</t>
  </si>
  <si>
    <t>92642485</t>
  </si>
  <si>
    <t>665</t>
  </si>
  <si>
    <t>Нижнекамский муниципальный район</t>
  </si>
  <si>
    <t>92644000</t>
  </si>
  <si>
    <t>Афанасовское</t>
  </si>
  <si>
    <t>92644405</t>
  </si>
  <si>
    <t>666</t>
  </si>
  <si>
    <t>Город Нижнекамск</t>
  </si>
  <si>
    <t>92644101</t>
  </si>
  <si>
    <t>667</t>
  </si>
  <si>
    <t>Елантовское</t>
  </si>
  <si>
    <t>92644407</t>
  </si>
  <si>
    <t>668</t>
  </si>
  <si>
    <t>Каенлинское</t>
  </si>
  <si>
    <t>92644410</t>
  </si>
  <si>
    <t>669</t>
  </si>
  <si>
    <t>Кармалинское</t>
  </si>
  <si>
    <t>92644412</t>
  </si>
  <si>
    <t>670</t>
  </si>
  <si>
    <t>Краснокадкинское</t>
  </si>
  <si>
    <t>92644420</t>
  </si>
  <si>
    <t>671</t>
  </si>
  <si>
    <t>Красноключинское</t>
  </si>
  <si>
    <t>92644415</t>
  </si>
  <si>
    <t>672</t>
  </si>
  <si>
    <t>Майскогорское</t>
  </si>
  <si>
    <t>92644423</t>
  </si>
  <si>
    <t>673</t>
  </si>
  <si>
    <t>92644425</t>
  </si>
  <si>
    <t>674</t>
  </si>
  <si>
    <t>675</t>
  </si>
  <si>
    <t>Нижнеуратьминское</t>
  </si>
  <si>
    <t>92644430</t>
  </si>
  <si>
    <t>676</t>
  </si>
  <si>
    <t>Простинское</t>
  </si>
  <si>
    <t>92644433</t>
  </si>
  <si>
    <t>677</t>
  </si>
  <si>
    <t>92644434</t>
  </si>
  <si>
    <t>678</t>
  </si>
  <si>
    <t>Старошешминское</t>
  </si>
  <si>
    <t>92644435</t>
  </si>
  <si>
    <t>679</t>
  </si>
  <si>
    <t>Сухаревское</t>
  </si>
  <si>
    <t>92644440</t>
  </si>
  <si>
    <t>680</t>
  </si>
  <si>
    <t>Шереметьевское</t>
  </si>
  <si>
    <t>92644445</t>
  </si>
  <si>
    <t>681</t>
  </si>
  <si>
    <t>Шингальчинское</t>
  </si>
  <si>
    <t>92644450</t>
  </si>
  <si>
    <t>682</t>
  </si>
  <si>
    <t>поселок городского типа Камские Поляны</t>
  </si>
  <si>
    <t>92644156</t>
  </si>
  <si>
    <t>683</t>
  </si>
  <si>
    <t>Новошешминский муниципальный район</t>
  </si>
  <si>
    <t>92645000</t>
  </si>
  <si>
    <t>Азеевское</t>
  </si>
  <si>
    <t>92645401</t>
  </si>
  <si>
    <t>684</t>
  </si>
  <si>
    <t>Акбуринское</t>
  </si>
  <si>
    <t>92645440</t>
  </si>
  <si>
    <t>685</t>
  </si>
  <si>
    <t>Архангельское</t>
  </si>
  <si>
    <t>92645402</t>
  </si>
  <si>
    <t>686</t>
  </si>
  <si>
    <t>Буревестниковское</t>
  </si>
  <si>
    <t>92645405</t>
  </si>
  <si>
    <t>687</t>
  </si>
  <si>
    <t>Екатерининское</t>
  </si>
  <si>
    <t>92645412</t>
  </si>
  <si>
    <t>688</t>
  </si>
  <si>
    <t>Зиреклинское</t>
  </si>
  <si>
    <t>92645419</t>
  </si>
  <si>
    <t>689</t>
  </si>
  <si>
    <t>Краснооктябрьское</t>
  </si>
  <si>
    <t>92645425</t>
  </si>
  <si>
    <t>690</t>
  </si>
  <si>
    <t>Ленинское</t>
  </si>
  <si>
    <t>92645428</t>
  </si>
  <si>
    <t>691</t>
  </si>
  <si>
    <t>692</t>
  </si>
  <si>
    <t>Новошешминское</t>
  </si>
  <si>
    <t>92645432</t>
  </si>
  <si>
    <t>693</t>
  </si>
  <si>
    <t>Петропавловское</t>
  </si>
  <si>
    <t>92645436</t>
  </si>
  <si>
    <t>694</t>
  </si>
  <si>
    <t>Тубылгытауское</t>
  </si>
  <si>
    <t>92645438</t>
  </si>
  <si>
    <t>695</t>
  </si>
  <si>
    <t>92645444</t>
  </si>
  <si>
    <t>696</t>
  </si>
  <si>
    <t>Чебоксарское</t>
  </si>
  <si>
    <t>92645447</t>
  </si>
  <si>
    <t>697</t>
  </si>
  <si>
    <t>Черемуховское</t>
  </si>
  <si>
    <t>92645450</t>
  </si>
  <si>
    <t>698</t>
  </si>
  <si>
    <t>Шахмайкинское</t>
  </si>
  <si>
    <t>92645453</t>
  </si>
  <si>
    <t>699</t>
  </si>
  <si>
    <t>Нурлатский муниципальный район</t>
  </si>
  <si>
    <t>92646000</t>
  </si>
  <si>
    <t>Амзинское</t>
  </si>
  <si>
    <t>92646408</t>
  </si>
  <si>
    <t>700</t>
  </si>
  <si>
    <t>Андреевское</t>
  </si>
  <si>
    <t>92646412</t>
  </si>
  <si>
    <t>701</t>
  </si>
  <si>
    <t>Ахметовское</t>
  </si>
  <si>
    <t>92646448</t>
  </si>
  <si>
    <t>702</t>
  </si>
  <si>
    <t>Бикуловское</t>
  </si>
  <si>
    <t>92646449</t>
  </si>
  <si>
    <t>703</t>
  </si>
  <si>
    <t>Биляр-Озерское</t>
  </si>
  <si>
    <t>92646416</t>
  </si>
  <si>
    <t>704</t>
  </si>
  <si>
    <t>Богдашкинское</t>
  </si>
  <si>
    <t>92646420</t>
  </si>
  <si>
    <t>705</t>
  </si>
  <si>
    <t>Бурметьевское</t>
  </si>
  <si>
    <t>92646424</t>
  </si>
  <si>
    <t>706</t>
  </si>
  <si>
    <t>Гайтанкинское</t>
  </si>
  <si>
    <t>92646427</t>
  </si>
  <si>
    <t>707</t>
  </si>
  <si>
    <t>Город Нурлат</t>
  </si>
  <si>
    <t>92646101</t>
  </si>
  <si>
    <t>708</t>
  </si>
  <si>
    <t>Егоркинское</t>
  </si>
  <si>
    <t>92646428</t>
  </si>
  <si>
    <t>709</t>
  </si>
  <si>
    <t>Елаурское</t>
  </si>
  <si>
    <t>92646432</t>
  </si>
  <si>
    <t>710</t>
  </si>
  <si>
    <t>Зареченское</t>
  </si>
  <si>
    <t>92646436</t>
  </si>
  <si>
    <t>711</t>
  </si>
  <si>
    <t>Кичкальнинское</t>
  </si>
  <si>
    <t>92646442</t>
  </si>
  <si>
    <t>712</t>
  </si>
  <si>
    <t>Кульбаево-Марасинское</t>
  </si>
  <si>
    <t>92646444</t>
  </si>
  <si>
    <t>713</t>
  </si>
  <si>
    <t>Мамыковское</t>
  </si>
  <si>
    <t>92646452</t>
  </si>
  <si>
    <t>714</t>
  </si>
  <si>
    <t>Новоиглайкинское</t>
  </si>
  <si>
    <t>92646460</t>
  </si>
  <si>
    <t>715</t>
  </si>
  <si>
    <t>Новотумбинское</t>
  </si>
  <si>
    <t>92646462</t>
  </si>
  <si>
    <t>716</t>
  </si>
  <si>
    <t>717</t>
  </si>
  <si>
    <t>Селенгушское</t>
  </si>
  <si>
    <t>92646464</t>
  </si>
  <si>
    <t>718</t>
  </si>
  <si>
    <t>Среднекамышлинское</t>
  </si>
  <si>
    <t>92646468</t>
  </si>
  <si>
    <t>719</t>
  </si>
  <si>
    <t>Староальметьевское</t>
  </si>
  <si>
    <t>92646472</t>
  </si>
  <si>
    <t>720</t>
  </si>
  <si>
    <t>92646476</t>
  </si>
  <si>
    <t>721</t>
  </si>
  <si>
    <t>Степноозерское</t>
  </si>
  <si>
    <t>92646480</t>
  </si>
  <si>
    <t>722</t>
  </si>
  <si>
    <t>Тимерлекское</t>
  </si>
  <si>
    <t>92646484</t>
  </si>
  <si>
    <t>723</t>
  </si>
  <si>
    <t>Тюрнясевское</t>
  </si>
  <si>
    <t>92646486</t>
  </si>
  <si>
    <t>724</t>
  </si>
  <si>
    <t>Фомкинское</t>
  </si>
  <si>
    <t>92646488</t>
  </si>
  <si>
    <t>725</t>
  </si>
  <si>
    <t>Чулпановское</t>
  </si>
  <si>
    <t>92646490</t>
  </si>
  <si>
    <t>726</t>
  </si>
  <si>
    <t>Якушкинское</t>
  </si>
  <si>
    <t>92646492</t>
  </si>
  <si>
    <t>727</t>
  </si>
  <si>
    <t>Пестречинский муниципальный район</t>
  </si>
  <si>
    <t>92648000</t>
  </si>
  <si>
    <t>Белкинское</t>
  </si>
  <si>
    <t>92648405</t>
  </si>
  <si>
    <t>728</t>
  </si>
  <si>
    <t>Богородское</t>
  </si>
  <si>
    <t>92648410</t>
  </si>
  <si>
    <t>729</t>
  </si>
  <si>
    <t>Екатериновское</t>
  </si>
  <si>
    <t>92648415</t>
  </si>
  <si>
    <t>730</t>
  </si>
  <si>
    <t>Кибячинское</t>
  </si>
  <si>
    <t>92648425</t>
  </si>
  <si>
    <t>731</t>
  </si>
  <si>
    <t>Кобяковское</t>
  </si>
  <si>
    <t>92648427</t>
  </si>
  <si>
    <t>732</t>
  </si>
  <si>
    <t>Ковалинское</t>
  </si>
  <si>
    <t>92648428</t>
  </si>
  <si>
    <t>733</t>
  </si>
  <si>
    <t>Конское</t>
  </si>
  <si>
    <t>92648430</t>
  </si>
  <si>
    <t>734</t>
  </si>
  <si>
    <t>Кощаковское</t>
  </si>
  <si>
    <t>92648435</t>
  </si>
  <si>
    <t>735</t>
  </si>
  <si>
    <t>Кряш-Сердинское</t>
  </si>
  <si>
    <t>92648440</t>
  </si>
  <si>
    <t>736</t>
  </si>
  <si>
    <t>Кулаевское</t>
  </si>
  <si>
    <t>92648445</t>
  </si>
  <si>
    <t>737</t>
  </si>
  <si>
    <t>Ленино-Кокушкинское</t>
  </si>
  <si>
    <t>92648450</t>
  </si>
  <si>
    <t>738</t>
  </si>
  <si>
    <t>92648452</t>
  </si>
  <si>
    <t>739</t>
  </si>
  <si>
    <t>Отар-Дубровское</t>
  </si>
  <si>
    <t>92648453</t>
  </si>
  <si>
    <t>740</t>
  </si>
  <si>
    <t>Пановское</t>
  </si>
  <si>
    <t>92648454</t>
  </si>
  <si>
    <t>741</t>
  </si>
  <si>
    <t>742</t>
  </si>
  <si>
    <t>Пестречинское</t>
  </si>
  <si>
    <t>92648455</t>
  </si>
  <si>
    <t>743</t>
  </si>
  <si>
    <t>Пимерское</t>
  </si>
  <si>
    <t>92648457</t>
  </si>
  <si>
    <t>744</t>
  </si>
  <si>
    <t>Татарско-Ходяшевское</t>
  </si>
  <si>
    <t>92648465</t>
  </si>
  <si>
    <t>745</t>
  </si>
  <si>
    <t>Читинское</t>
  </si>
  <si>
    <t>92648467</t>
  </si>
  <si>
    <t>746</t>
  </si>
  <si>
    <t>Шалинское</t>
  </si>
  <si>
    <t>92648470</t>
  </si>
  <si>
    <t>747</t>
  </si>
  <si>
    <t>Шигалеевское</t>
  </si>
  <si>
    <t>92648475</t>
  </si>
  <si>
    <t>748</t>
  </si>
  <si>
    <t>Янцеварское</t>
  </si>
  <si>
    <t>92648480</t>
  </si>
  <si>
    <t>749</t>
  </si>
  <si>
    <t>Рыбно-Слободский муниципальный район</t>
  </si>
  <si>
    <t>92650000</t>
  </si>
  <si>
    <t>Анатышское</t>
  </si>
  <si>
    <t>92650404</t>
  </si>
  <si>
    <t>750</t>
  </si>
  <si>
    <t>Балыклы-Чукаевское</t>
  </si>
  <si>
    <t>92650408</t>
  </si>
  <si>
    <t>751</t>
  </si>
  <si>
    <t>Бетьковское</t>
  </si>
  <si>
    <t>92650412</t>
  </si>
  <si>
    <t>752</t>
  </si>
  <si>
    <t>Биектауское</t>
  </si>
  <si>
    <t>92650416</t>
  </si>
  <si>
    <t>753</t>
  </si>
  <si>
    <t>Большеелгинское</t>
  </si>
  <si>
    <t>92650420</t>
  </si>
  <si>
    <t>754</t>
  </si>
  <si>
    <t>Большекульгинское</t>
  </si>
  <si>
    <t>92650424</t>
  </si>
  <si>
    <t>755</t>
  </si>
  <si>
    <t>Большемашлякское</t>
  </si>
  <si>
    <t>92650428</t>
  </si>
  <si>
    <t>756</t>
  </si>
  <si>
    <t>Большеошнякское</t>
  </si>
  <si>
    <t>92650432</t>
  </si>
  <si>
    <t>757</t>
  </si>
  <si>
    <t>Большесалтанское</t>
  </si>
  <si>
    <t>92650436</t>
  </si>
  <si>
    <t>758</t>
  </si>
  <si>
    <t>Козяково-Челнинское</t>
  </si>
  <si>
    <t>92650440</t>
  </si>
  <si>
    <t>759</t>
  </si>
  <si>
    <t>Корноуховское</t>
  </si>
  <si>
    <t>92650444</t>
  </si>
  <si>
    <t>760</t>
  </si>
  <si>
    <t>Кугарчинское</t>
  </si>
  <si>
    <t>92650448</t>
  </si>
  <si>
    <t>761</t>
  </si>
  <si>
    <t>Кукеевское</t>
  </si>
  <si>
    <t>92650450</t>
  </si>
  <si>
    <t>762</t>
  </si>
  <si>
    <t>Кутлу-Букашское</t>
  </si>
  <si>
    <t>92650452</t>
  </si>
  <si>
    <t>763</t>
  </si>
  <si>
    <t>Масловское</t>
  </si>
  <si>
    <t>92650454</t>
  </si>
  <si>
    <t>764</t>
  </si>
  <si>
    <t>Нижнетимерлекское</t>
  </si>
  <si>
    <t>92650456</t>
  </si>
  <si>
    <t>765</t>
  </si>
  <si>
    <t>Новоарышское</t>
  </si>
  <si>
    <t>92650460</t>
  </si>
  <si>
    <t>766</t>
  </si>
  <si>
    <t>Полянское</t>
  </si>
  <si>
    <t>92650462</t>
  </si>
  <si>
    <t>767</t>
  </si>
  <si>
    <t>Русско-Ошнякское</t>
  </si>
  <si>
    <t>92650464</t>
  </si>
  <si>
    <t>768</t>
  </si>
  <si>
    <t>769</t>
  </si>
  <si>
    <t>Троицко-Урайское</t>
  </si>
  <si>
    <t>92650472</t>
  </si>
  <si>
    <t>770</t>
  </si>
  <si>
    <t>Урахчинское</t>
  </si>
  <si>
    <t>92650476</t>
  </si>
  <si>
    <t>771</t>
  </si>
  <si>
    <t>Шеморбашское</t>
  </si>
  <si>
    <t>92650480</t>
  </si>
  <si>
    <t>772</t>
  </si>
  <si>
    <t>Шетнево-Тулушское</t>
  </si>
  <si>
    <t>92650484</t>
  </si>
  <si>
    <t>773</t>
  </si>
  <si>
    <t>Шумбутское</t>
  </si>
  <si>
    <t>92650488</t>
  </si>
  <si>
    <t>774</t>
  </si>
  <si>
    <t>Шумковское</t>
  </si>
  <si>
    <t>92650492</t>
  </si>
  <si>
    <t>775</t>
  </si>
  <si>
    <t>Юлсубинское</t>
  </si>
  <si>
    <t>92650496</t>
  </si>
  <si>
    <t>776</t>
  </si>
  <si>
    <t>поселок городского типа Рыбная Слобода</t>
  </si>
  <si>
    <t>92650151</t>
  </si>
  <si>
    <t>777</t>
  </si>
  <si>
    <t>Сабинский муниципальный район</t>
  </si>
  <si>
    <t>92652000</t>
  </si>
  <si>
    <t>Арташское</t>
  </si>
  <si>
    <t>92652404</t>
  </si>
  <si>
    <t>778</t>
  </si>
  <si>
    <t>Большекибячинское</t>
  </si>
  <si>
    <t>92652409</t>
  </si>
  <si>
    <t>779</t>
  </si>
  <si>
    <t>Большеныртинское</t>
  </si>
  <si>
    <t>92652417</t>
  </si>
  <si>
    <t>780</t>
  </si>
  <si>
    <t>Большешинарское</t>
  </si>
  <si>
    <t>92652423</t>
  </si>
  <si>
    <t>781</t>
  </si>
  <si>
    <t>Верхнесиметское</t>
  </si>
  <si>
    <t>92652431</t>
  </si>
  <si>
    <t>782</t>
  </si>
  <si>
    <t>Евлаштауское</t>
  </si>
  <si>
    <t>92652432</t>
  </si>
  <si>
    <t>783</t>
  </si>
  <si>
    <t>Изминское</t>
  </si>
  <si>
    <t>92652434</t>
  </si>
  <si>
    <t>784</t>
  </si>
  <si>
    <t>Иштуганское</t>
  </si>
  <si>
    <t>92652436</t>
  </si>
  <si>
    <t>785</t>
  </si>
  <si>
    <t>Кильдебякское</t>
  </si>
  <si>
    <t>92652442</t>
  </si>
  <si>
    <t>786</t>
  </si>
  <si>
    <t>Корсабашское</t>
  </si>
  <si>
    <t>92652430</t>
  </si>
  <si>
    <t>787</t>
  </si>
  <si>
    <t>Мешинское</t>
  </si>
  <si>
    <t>92652452</t>
  </si>
  <si>
    <t>788</t>
  </si>
  <si>
    <t>Мичанское</t>
  </si>
  <si>
    <t>92652454</t>
  </si>
  <si>
    <t>789</t>
  </si>
  <si>
    <t>Нижнешитцинское</t>
  </si>
  <si>
    <t>92652450</t>
  </si>
  <si>
    <t>790</t>
  </si>
  <si>
    <t>791</t>
  </si>
  <si>
    <t>Сатышевское</t>
  </si>
  <si>
    <t>92652462</t>
  </si>
  <si>
    <t>792</t>
  </si>
  <si>
    <t>Староикшурминское</t>
  </si>
  <si>
    <t>92652473</t>
  </si>
  <si>
    <t>793</t>
  </si>
  <si>
    <t>Тимершикское</t>
  </si>
  <si>
    <t>92652481</t>
  </si>
  <si>
    <t>794</t>
  </si>
  <si>
    <t>Шеморданское</t>
  </si>
  <si>
    <t>92652494</t>
  </si>
  <si>
    <t>795</t>
  </si>
  <si>
    <t>Шикшинское</t>
  </si>
  <si>
    <t>92652495</t>
  </si>
  <si>
    <t>796</t>
  </si>
  <si>
    <t>Юлбатское</t>
  </si>
  <si>
    <t>92652498</t>
  </si>
  <si>
    <t>797</t>
  </si>
  <si>
    <t>поселок городского типа Богатые Сабы</t>
  </si>
  <si>
    <t>92652151</t>
  </si>
  <si>
    <t>798</t>
  </si>
  <si>
    <t>Сармановский муниципальный район</t>
  </si>
  <si>
    <t>92653000</t>
  </si>
  <si>
    <t>Азалаковское</t>
  </si>
  <si>
    <t>92653404</t>
  </si>
  <si>
    <t>799</t>
  </si>
  <si>
    <t>92653408</t>
  </si>
  <si>
    <t>800</t>
  </si>
  <si>
    <t>92653409</t>
  </si>
  <si>
    <t>801</t>
  </si>
  <si>
    <t>Большенуркеевское</t>
  </si>
  <si>
    <t>92653412</t>
  </si>
  <si>
    <t>802</t>
  </si>
  <si>
    <t>Верхне-Чершилинское</t>
  </si>
  <si>
    <t>92653415</t>
  </si>
  <si>
    <t>803</t>
  </si>
  <si>
    <t>Иляксазское</t>
  </si>
  <si>
    <t>92653420</t>
  </si>
  <si>
    <t>804</t>
  </si>
  <si>
    <t>Кавзияковское</t>
  </si>
  <si>
    <t>92653424</t>
  </si>
  <si>
    <t>805</t>
  </si>
  <si>
    <t>Карашай-Сакловское</t>
  </si>
  <si>
    <t>92653428</t>
  </si>
  <si>
    <t>806</t>
  </si>
  <si>
    <t>Лешев-Тамакское</t>
  </si>
  <si>
    <t>92653432</t>
  </si>
  <si>
    <t>807</t>
  </si>
  <si>
    <t>Лякинское</t>
  </si>
  <si>
    <t>92653436</t>
  </si>
  <si>
    <t>808</t>
  </si>
  <si>
    <t>Муртыш-Тамакское</t>
  </si>
  <si>
    <t>92653440</t>
  </si>
  <si>
    <t>809</t>
  </si>
  <si>
    <t>Новоимянское</t>
  </si>
  <si>
    <t>92653444</t>
  </si>
  <si>
    <t>810</t>
  </si>
  <si>
    <t>Петровско-Заводское</t>
  </si>
  <si>
    <t>92653448</t>
  </si>
  <si>
    <t>811</t>
  </si>
  <si>
    <t>Рангазарское</t>
  </si>
  <si>
    <t>92653452</t>
  </si>
  <si>
    <t>812</t>
  </si>
  <si>
    <t>Саклов-Башское</t>
  </si>
  <si>
    <t>92653456</t>
  </si>
  <si>
    <t>813</t>
  </si>
  <si>
    <t>814</t>
  </si>
  <si>
    <t>Сармановское</t>
  </si>
  <si>
    <t>92653460</t>
  </si>
  <si>
    <t>815</t>
  </si>
  <si>
    <t>Старо-Имянское</t>
  </si>
  <si>
    <t>92653470</t>
  </si>
  <si>
    <t>816</t>
  </si>
  <si>
    <t>Старокаширское</t>
  </si>
  <si>
    <t>92653468</t>
  </si>
  <si>
    <t>817</t>
  </si>
  <si>
    <t>Старомензелябашское</t>
  </si>
  <si>
    <t>92653472</t>
  </si>
  <si>
    <t>818</t>
  </si>
  <si>
    <t>Чукмарлинское</t>
  </si>
  <si>
    <t>92653480</t>
  </si>
  <si>
    <t>819</t>
  </si>
  <si>
    <t>Шарлиареминское</t>
  </si>
  <si>
    <t>92653482</t>
  </si>
  <si>
    <t>820</t>
  </si>
  <si>
    <t>Янурусовское</t>
  </si>
  <si>
    <t>92653484</t>
  </si>
  <si>
    <t>821</t>
  </si>
  <si>
    <t>поселок городского типа Джалиль</t>
  </si>
  <si>
    <t>92653155</t>
  </si>
  <si>
    <t>822</t>
  </si>
  <si>
    <t>Спасский муниципальный район</t>
  </si>
  <si>
    <t>92632000</t>
  </si>
  <si>
    <t>Аграмаковское</t>
  </si>
  <si>
    <t>92632405</t>
  </si>
  <si>
    <t>823</t>
  </si>
  <si>
    <t>Антоновское</t>
  </si>
  <si>
    <t>92632410</t>
  </si>
  <si>
    <t>824</t>
  </si>
  <si>
    <t>Бураковское</t>
  </si>
  <si>
    <t>92632415</t>
  </si>
  <si>
    <t>825</t>
  </si>
  <si>
    <t>Город Болгар</t>
  </si>
  <si>
    <t>92632101</t>
  </si>
  <si>
    <t>826</t>
  </si>
  <si>
    <t>Измерское</t>
  </si>
  <si>
    <t>92632420</t>
  </si>
  <si>
    <t>827</t>
  </si>
  <si>
    <t>Иске-Рязапское</t>
  </si>
  <si>
    <t>92632425</t>
  </si>
  <si>
    <t>828</t>
  </si>
  <si>
    <t>Кимовское</t>
  </si>
  <si>
    <t>92632430</t>
  </si>
  <si>
    <t>829</t>
  </si>
  <si>
    <t>Краснослободское</t>
  </si>
  <si>
    <t>92632435</t>
  </si>
  <si>
    <t>830</t>
  </si>
  <si>
    <t>Кузнечихинское</t>
  </si>
  <si>
    <t>92632440</t>
  </si>
  <si>
    <t>831</t>
  </si>
  <si>
    <t>92632445</t>
  </si>
  <si>
    <t>832</t>
  </si>
  <si>
    <t>92632450</t>
  </si>
  <si>
    <t>833</t>
  </si>
  <si>
    <t>92632460</t>
  </si>
  <si>
    <t>834</t>
  </si>
  <si>
    <t>Приволжское</t>
  </si>
  <si>
    <t>92632462</t>
  </si>
  <si>
    <t>835</t>
  </si>
  <si>
    <t>836</t>
  </si>
  <si>
    <t>Среднеюрткульское</t>
  </si>
  <si>
    <t>92632465</t>
  </si>
  <si>
    <t>837</t>
  </si>
  <si>
    <t>Трехозерское</t>
  </si>
  <si>
    <t>92632470</t>
  </si>
  <si>
    <t>838</t>
  </si>
  <si>
    <t>Чэчэклинское</t>
  </si>
  <si>
    <t>92632455</t>
  </si>
  <si>
    <t>839</t>
  </si>
  <si>
    <t>Ямбухтинское</t>
  </si>
  <si>
    <t>92632475</t>
  </si>
  <si>
    <t>840</t>
  </si>
  <si>
    <t>Тетюшский муниципальный район</t>
  </si>
  <si>
    <t>92655000</t>
  </si>
  <si>
    <t>Алабердинское</t>
  </si>
  <si>
    <t>92655403</t>
  </si>
  <si>
    <t>841</t>
  </si>
  <si>
    <t>Байрашевское</t>
  </si>
  <si>
    <t>92655408</t>
  </si>
  <si>
    <t>842</t>
  </si>
  <si>
    <t>92655412</t>
  </si>
  <si>
    <t>843</t>
  </si>
  <si>
    <t>Беденьгинское</t>
  </si>
  <si>
    <t>92655416</t>
  </si>
  <si>
    <t>844</t>
  </si>
  <si>
    <t>Бессоновское</t>
  </si>
  <si>
    <t>92655417</t>
  </si>
  <si>
    <t>845</t>
  </si>
  <si>
    <t>Большеатрясское</t>
  </si>
  <si>
    <t>92655420</t>
  </si>
  <si>
    <t>846</t>
  </si>
  <si>
    <t>Большетарханское</t>
  </si>
  <si>
    <t>92655424</t>
  </si>
  <si>
    <t>847</t>
  </si>
  <si>
    <t>Большетурминское</t>
  </si>
  <si>
    <t>92655428</t>
  </si>
  <si>
    <t>848</t>
  </si>
  <si>
    <t>Большешемякинское</t>
  </si>
  <si>
    <t>92655432</t>
  </si>
  <si>
    <t>849</t>
  </si>
  <si>
    <t>Город Тетюши</t>
  </si>
  <si>
    <t>92655101</t>
  </si>
  <si>
    <t>850</t>
  </si>
  <si>
    <t>Жуковское</t>
  </si>
  <si>
    <t>92655436</t>
  </si>
  <si>
    <t>851</t>
  </si>
  <si>
    <t>Кильдюшевское</t>
  </si>
  <si>
    <t>92655438</t>
  </si>
  <si>
    <t>852</t>
  </si>
  <si>
    <t>Киртелинское</t>
  </si>
  <si>
    <t>92655440</t>
  </si>
  <si>
    <t>853</t>
  </si>
  <si>
    <t>Кляшевское</t>
  </si>
  <si>
    <t>92655444</t>
  </si>
  <si>
    <t>854</t>
  </si>
  <si>
    <t>Кошки-Новотимбаевское</t>
  </si>
  <si>
    <t>92655448</t>
  </si>
  <si>
    <t>855</t>
  </si>
  <si>
    <t>Льяшевское</t>
  </si>
  <si>
    <t>92655456</t>
  </si>
  <si>
    <t>856</t>
  </si>
  <si>
    <t>Монастырское</t>
  </si>
  <si>
    <t>92655464</t>
  </si>
  <si>
    <t>857</t>
  </si>
  <si>
    <t>92655468</t>
  </si>
  <si>
    <t>858</t>
  </si>
  <si>
    <t>Сюндюковское</t>
  </si>
  <si>
    <t>92655476</t>
  </si>
  <si>
    <t>859</t>
  </si>
  <si>
    <t>860</t>
  </si>
  <si>
    <t>Урюмское</t>
  </si>
  <si>
    <t>92655480</t>
  </si>
  <si>
    <t>861</t>
  </si>
  <si>
    <t>92655484</t>
  </si>
  <si>
    <t>862</t>
  </si>
  <si>
    <t>Тукаевский муниципальный район</t>
  </si>
  <si>
    <t>92657000</t>
  </si>
  <si>
    <t>Азьмушкинское</t>
  </si>
  <si>
    <t>92657405</t>
  </si>
  <si>
    <t>863</t>
  </si>
  <si>
    <t>Бетькинское</t>
  </si>
  <si>
    <t>92657410</t>
  </si>
  <si>
    <t>864</t>
  </si>
  <si>
    <t>Биклянское</t>
  </si>
  <si>
    <t>92657415</t>
  </si>
  <si>
    <t>865</t>
  </si>
  <si>
    <t>Биюрганское</t>
  </si>
  <si>
    <t>92657426</t>
  </si>
  <si>
    <t>866</t>
  </si>
  <si>
    <t>Бурдинское</t>
  </si>
  <si>
    <t>92657425</t>
  </si>
  <si>
    <t>867</t>
  </si>
  <si>
    <t>Иштеряковское</t>
  </si>
  <si>
    <t>92657428</t>
  </si>
  <si>
    <t>868</t>
  </si>
  <si>
    <t>Калмашское</t>
  </si>
  <si>
    <t>92657430</t>
  </si>
  <si>
    <t>869</t>
  </si>
  <si>
    <t>Калмиинское</t>
  </si>
  <si>
    <t>92657431</t>
  </si>
  <si>
    <t>870</t>
  </si>
  <si>
    <t>Князевское</t>
  </si>
  <si>
    <t>92657435</t>
  </si>
  <si>
    <t>871</t>
  </si>
  <si>
    <t>Комсомольское</t>
  </si>
  <si>
    <t>92657437</t>
  </si>
  <si>
    <t>872</t>
  </si>
  <si>
    <t>Круглопольское</t>
  </si>
  <si>
    <t>92657433</t>
  </si>
  <si>
    <t>873</t>
  </si>
  <si>
    <t>Кузкеевское</t>
  </si>
  <si>
    <t>92657438</t>
  </si>
  <si>
    <t>874</t>
  </si>
  <si>
    <t>Малошильнинское</t>
  </si>
  <si>
    <t>92657439</t>
  </si>
  <si>
    <t>875</t>
  </si>
  <si>
    <t>Мелекесское</t>
  </si>
  <si>
    <t>92657440</t>
  </si>
  <si>
    <t>876</t>
  </si>
  <si>
    <t>Мусабай-Заводское</t>
  </si>
  <si>
    <t>92657445</t>
  </si>
  <si>
    <t>877</t>
  </si>
  <si>
    <t>Нижнесуыксинское</t>
  </si>
  <si>
    <t>92657450</t>
  </si>
  <si>
    <t>878</t>
  </si>
  <si>
    <t>92657455</t>
  </si>
  <si>
    <t>879</t>
  </si>
  <si>
    <t>Семекеевское</t>
  </si>
  <si>
    <t>92657465</t>
  </si>
  <si>
    <t>880</t>
  </si>
  <si>
    <t>Староабдуловское</t>
  </si>
  <si>
    <t>92657469</t>
  </si>
  <si>
    <t>881</t>
  </si>
  <si>
    <t>Стародрюшское</t>
  </si>
  <si>
    <t>92657471</t>
  </si>
  <si>
    <t>882</t>
  </si>
  <si>
    <t>Тлянче-Тамакское</t>
  </si>
  <si>
    <t>92657474</t>
  </si>
  <si>
    <t>883</t>
  </si>
  <si>
    <t>884</t>
  </si>
  <si>
    <t>Шильнебашское</t>
  </si>
  <si>
    <t>92657483</t>
  </si>
  <si>
    <t>885</t>
  </si>
  <si>
    <t>Яна-Булякское</t>
  </si>
  <si>
    <t>92657492</t>
  </si>
  <si>
    <t>886</t>
  </si>
  <si>
    <t>Тюлячинский муниципальный район</t>
  </si>
  <si>
    <t>92656000</t>
  </si>
  <si>
    <t>Абдинское</t>
  </si>
  <si>
    <t>92656403</t>
  </si>
  <si>
    <t>887</t>
  </si>
  <si>
    <t>Айдаровское</t>
  </si>
  <si>
    <t>92656404</t>
  </si>
  <si>
    <t>888</t>
  </si>
  <si>
    <t>Аланское</t>
  </si>
  <si>
    <t>92656405</t>
  </si>
  <si>
    <t>889</t>
  </si>
  <si>
    <t>Баландышское</t>
  </si>
  <si>
    <t>92656410</t>
  </si>
  <si>
    <t>890</t>
  </si>
  <si>
    <t>Большеметескинское</t>
  </si>
  <si>
    <t>92656413</t>
  </si>
  <si>
    <t>891</t>
  </si>
  <si>
    <t>Большемешское</t>
  </si>
  <si>
    <t>92656415</t>
  </si>
  <si>
    <t>892</t>
  </si>
  <si>
    <t>Большенырсинское</t>
  </si>
  <si>
    <t>92656418</t>
  </si>
  <si>
    <t>893</t>
  </si>
  <si>
    <t>Верхнекибякозинское</t>
  </si>
  <si>
    <t>92656425</t>
  </si>
  <si>
    <t>894</t>
  </si>
  <si>
    <t>Малокибякозинское</t>
  </si>
  <si>
    <t>92656435</t>
  </si>
  <si>
    <t>895</t>
  </si>
  <si>
    <t>Старозюринское</t>
  </si>
  <si>
    <t>92656440</t>
  </si>
  <si>
    <t>896</t>
  </si>
  <si>
    <t>897</t>
  </si>
  <si>
    <t>Тюлячинское</t>
  </si>
  <si>
    <t>92656445</t>
  </si>
  <si>
    <t>898</t>
  </si>
  <si>
    <t>Узякское</t>
  </si>
  <si>
    <t>92656450</t>
  </si>
  <si>
    <t>899</t>
  </si>
  <si>
    <t>Шадкинское</t>
  </si>
  <si>
    <t>92656455</t>
  </si>
  <si>
    <t>900</t>
  </si>
  <si>
    <t>Черемшанский муниципальный район</t>
  </si>
  <si>
    <t>92658000</t>
  </si>
  <si>
    <t>Беркет-Ключевское</t>
  </si>
  <si>
    <t>92658405</t>
  </si>
  <si>
    <t>901</t>
  </si>
  <si>
    <t>Верхнекаменское</t>
  </si>
  <si>
    <t>92658410</t>
  </si>
  <si>
    <t>902</t>
  </si>
  <si>
    <t>Ивашкинское</t>
  </si>
  <si>
    <t>92658415</t>
  </si>
  <si>
    <t>903</t>
  </si>
  <si>
    <t>Карамышевское</t>
  </si>
  <si>
    <t>92658420</t>
  </si>
  <si>
    <t>904</t>
  </si>
  <si>
    <t>Кутеминское</t>
  </si>
  <si>
    <t>92658422</t>
  </si>
  <si>
    <t>905</t>
  </si>
  <si>
    <t>Лашманское</t>
  </si>
  <si>
    <t>92658430</t>
  </si>
  <si>
    <t>906</t>
  </si>
  <si>
    <t>Мордовско-Афонькинское</t>
  </si>
  <si>
    <t>92658435</t>
  </si>
  <si>
    <t>907</t>
  </si>
  <si>
    <t>Нижнекаменское</t>
  </si>
  <si>
    <t>92658438</t>
  </si>
  <si>
    <t>908</t>
  </si>
  <si>
    <t>Нижнекармалкинское</t>
  </si>
  <si>
    <t>92658440</t>
  </si>
  <si>
    <t>909</t>
  </si>
  <si>
    <t>92658445</t>
  </si>
  <si>
    <t>910</t>
  </si>
  <si>
    <t>Новокадеевское</t>
  </si>
  <si>
    <t>92658450</t>
  </si>
  <si>
    <t>911</t>
  </si>
  <si>
    <t>Старокадеевское</t>
  </si>
  <si>
    <t>92658455</t>
  </si>
  <si>
    <t>912</t>
  </si>
  <si>
    <t>Старокутушское</t>
  </si>
  <si>
    <t>92658425</t>
  </si>
  <si>
    <t>913</t>
  </si>
  <si>
    <t>Староутямышское</t>
  </si>
  <si>
    <t>92658460</t>
  </si>
  <si>
    <t>914</t>
  </si>
  <si>
    <t>Туйметкинское</t>
  </si>
  <si>
    <t>92658462</t>
  </si>
  <si>
    <t>915</t>
  </si>
  <si>
    <t>Ульяновское</t>
  </si>
  <si>
    <t>92658465</t>
  </si>
  <si>
    <t>916</t>
  </si>
  <si>
    <t>917</t>
  </si>
  <si>
    <t>92658470</t>
  </si>
  <si>
    <t>918</t>
  </si>
  <si>
    <t>Шешминское</t>
  </si>
  <si>
    <t>92658475</t>
  </si>
  <si>
    <t>919</t>
  </si>
  <si>
    <t>Чистопольский муниципальный район</t>
  </si>
  <si>
    <t>92659000</t>
  </si>
  <si>
    <t>Адельшинское</t>
  </si>
  <si>
    <t>92659403</t>
  </si>
  <si>
    <t>920</t>
  </si>
  <si>
    <t>Большетолкишское</t>
  </si>
  <si>
    <t>92659409</t>
  </si>
  <si>
    <t>921</t>
  </si>
  <si>
    <t>Булдырское</t>
  </si>
  <si>
    <t>92659412</t>
  </si>
  <si>
    <t>922</t>
  </si>
  <si>
    <t>Верхнекондратинское</t>
  </si>
  <si>
    <t>92659414</t>
  </si>
  <si>
    <t>923</t>
  </si>
  <si>
    <t>Город Чистополь</t>
  </si>
  <si>
    <t>92659101</t>
  </si>
  <si>
    <t>924</t>
  </si>
  <si>
    <t>Данауровское</t>
  </si>
  <si>
    <t>92659418</t>
  </si>
  <si>
    <t>925</t>
  </si>
  <si>
    <t>Исляйкинское</t>
  </si>
  <si>
    <t>92659423</t>
  </si>
  <si>
    <t>926</t>
  </si>
  <si>
    <t>Каргалинское</t>
  </si>
  <si>
    <t>92659430</t>
  </si>
  <si>
    <t>927</t>
  </si>
  <si>
    <t>Кубасское</t>
  </si>
  <si>
    <t>92659438</t>
  </si>
  <si>
    <t>928</t>
  </si>
  <si>
    <t>Кутлушкинское</t>
  </si>
  <si>
    <t>92659441</t>
  </si>
  <si>
    <t>929</t>
  </si>
  <si>
    <t>Малотолкишское</t>
  </si>
  <si>
    <t>92659447</t>
  </si>
  <si>
    <t>930</t>
  </si>
  <si>
    <t>Муслюмкинское</t>
  </si>
  <si>
    <t>92659450</t>
  </si>
  <si>
    <t>931</t>
  </si>
  <si>
    <t>Нарат-Елгинское</t>
  </si>
  <si>
    <t>92659453</t>
  </si>
  <si>
    <t>932</t>
  </si>
  <si>
    <t>Нижнекондратинское</t>
  </si>
  <si>
    <t>92659455</t>
  </si>
  <si>
    <t>933</t>
  </si>
  <si>
    <t>Совхозно-Галактионовское</t>
  </si>
  <si>
    <t>92659462</t>
  </si>
  <si>
    <t>934</t>
  </si>
  <si>
    <t>Староромашкинское</t>
  </si>
  <si>
    <t>92659468</t>
  </si>
  <si>
    <t>935</t>
  </si>
  <si>
    <t>Татарско-Баганинское</t>
  </si>
  <si>
    <t>92659471</t>
  </si>
  <si>
    <t>936</t>
  </si>
  <si>
    <t>Татарско-Елтанское</t>
  </si>
  <si>
    <t>92659474</t>
  </si>
  <si>
    <t>937</t>
  </si>
  <si>
    <t>Татарско-Сарсазское</t>
  </si>
  <si>
    <t>92659475</t>
  </si>
  <si>
    <t>938</t>
  </si>
  <si>
    <t>Татарско-Толкишское</t>
  </si>
  <si>
    <t>92659477</t>
  </si>
  <si>
    <t>939</t>
  </si>
  <si>
    <t>Четырчинское</t>
  </si>
  <si>
    <t>92659486</t>
  </si>
  <si>
    <t>940</t>
  </si>
  <si>
    <t>941</t>
  </si>
  <si>
    <t>Чистопольско-Высельское</t>
  </si>
  <si>
    <t>92659492</t>
  </si>
  <si>
    <t>942</t>
  </si>
  <si>
    <t>Чистопольское</t>
  </si>
  <si>
    <t>92659489</t>
  </si>
  <si>
    <t>943</t>
  </si>
  <si>
    <t>Чувашско-Елтанское</t>
  </si>
  <si>
    <t>92659495</t>
  </si>
  <si>
    <t>944</t>
  </si>
  <si>
    <t>Ютазинский муниципальный район</t>
  </si>
  <si>
    <t>92654000</t>
  </si>
  <si>
    <t>Абсалямовское</t>
  </si>
  <si>
    <t>92654401</t>
  </si>
  <si>
    <t>945</t>
  </si>
  <si>
    <t>92654402</t>
  </si>
  <si>
    <t>946</t>
  </si>
  <si>
    <t>Байряки-Тамакское</t>
  </si>
  <si>
    <t>92654408</t>
  </si>
  <si>
    <t>947</t>
  </si>
  <si>
    <t>Байрякинское</t>
  </si>
  <si>
    <t>92654405</t>
  </si>
  <si>
    <t>948</t>
  </si>
  <si>
    <t>Дым-Тамакское</t>
  </si>
  <si>
    <t>92654412</t>
  </si>
  <si>
    <t>949</t>
  </si>
  <si>
    <t>Каракашлинское</t>
  </si>
  <si>
    <t>92654420</t>
  </si>
  <si>
    <t>950</t>
  </si>
  <si>
    <t>Старокаразерикское</t>
  </si>
  <si>
    <t>92654435</t>
  </si>
  <si>
    <t>951</t>
  </si>
  <si>
    <t>Ташкичуйское</t>
  </si>
  <si>
    <t>92654440</t>
  </si>
  <si>
    <t>952</t>
  </si>
  <si>
    <t>Уруссинское</t>
  </si>
  <si>
    <t>92654445</t>
  </si>
  <si>
    <t>953</t>
  </si>
  <si>
    <t>954</t>
  </si>
  <si>
    <t>Ютазинское</t>
  </si>
  <si>
    <t>92654455</t>
  </si>
  <si>
    <t>955</t>
  </si>
  <si>
    <t>поселок городского типа Уруссу</t>
  </si>
  <si>
    <t>92654151</t>
  </si>
  <si>
    <t>956</t>
  </si>
  <si>
    <t>NUMBER_POINT</t>
  </si>
  <si>
    <t>INVP_NAME</t>
  </si>
  <si>
    <t>INVP_ID</t>
  </si>
  <si>
    <t>L_START_DATE</t>
  </si>
  <si>
    <t>L_END_DATE</t>
  </si>
  <si>
    <t>L_DECISION_NAME</t>
  </si>
  <si>
    <t>L_DECISION_TYPE</t>
  </si>
  <si>
    <t>L_DECISION_NMBR</t>
  </si>
  <si>
    <t>L_DECISION_DATE</t>
  </si>
  <si>
    <t>Инвестиционная программа № 113/о от 11.07.2023 в сфере водоснабжения по модернизации и реконструкции систем водоснабжения, на территории муниципального района Кукморский на 2024-2026 годы</t>
  </si>
  <si>
    <t>01.01.2024</t>
  </si>
  <si>
    <t>31.12.2026</t>
  </si>
  <si>
    <t>Инвестиционная программа № 113/о от 11.07.2023 в сфере водоснабжения по реконструкции и модернизации систем водоснабжения, на территории муниципального района Кукморский на 2024-2026 годы</t>
  </si>
  <si>
    <t>Инвестиционная программа № 113/о от 11.07.2023 в сфере водоснабжения по реконструкции существующих объектов систем водоснабжения, на территории муниципального района Кукморский на 2024-2026 годы</t>
  </si>
  <si>
    <t>Инвестиционная программа № 119/о от 28.07.2023 АО "ЗВКС" в сфере водоснабжения по модернизации объектов централизованной системы водоснабжения, на территории городского поселения Город Зеленодольск, Зеленодольский муниципальный район на 2024-2025 годы</t>
  </si>
  <si>
    <t>31.12.2025</t>
  </si>
  <si>
    <t>Инвестиционная программа № 119/о от 28.07.2023 АО "ЗВКС" в сфере холодного водоснабжения по модернизации и реконструкции объектов централизованной системы водоснабжения, на территории городского поселения Город Зеленодольск, Зеленодольский муниципальный район на 2024-2026 годы</t>
  </si>
  <si>
    <t>Инвестиционная программа № 122/о от 06.10.2022 АО "Альметьевск-Водоканал" в сфере водоснабжения и водоотведения по реконструкции объектов централизованных систем водоснабжения и водоотведения, на территории городского поселения Город Альметьевск, Альметьевский муниципальный район на 2023-2025 годы</t>
  </si>
  <si>
    <t>01.01.2023</t>
  </si>
  <si>
    <t>Инвестиционная программа № 129/о от 21.08.2023 АО "Водопроводно-канализационное и энергетическое хозяйство" в сфере холодного водоснабжения по реконструкции систем водоснабжения, на территории городского поселения Город Нижнекамск, Нижнекамский муниципальный район на 2024-2028 годы</t>
  </si>
  <si>
    <t>31.12.2028</t>
  </si>
  <si>
    <t>Инвестиционная программа № 140/о от 25.10.2022 АО "Буинск-Водоканал" в сфере водоснабжения и водоотведения по модернизации объектов централизованных систем водоснабжения и водоотведения, на территории городского поселения Город Буинск, Буинский муниципальный район на 2023-2025 годы</t>
  </si>
  <si>
    <t>Инвестиционная программа № 141/о от 28.10.2022 АО "Балтасинское МПП ЖКХ" в сфере холодного водоснабжения по реконструкции объектов централизованной системы водоснабжения, на территории городского поселения поселок городского типа Балтаси, Балтасинский муниципальный район на 2023-2025 годы</t>
  </si>
  <si>
    <t>Инвестиционная программа № 142/о от 28.10.2022 АО "ОЭЗ ППТ "Алабуга" в сфере водоснабжения и водоотведения по развитию, модернизации и реконструкции систем коммунального водоснабжения и водоотведения, на территории городского поселения Город Елабуга, Елабужский муниципальный район на 2023-2025 годы</t>
  </si>
  <si>
    <t>Инвестиционная программа № 142/о от 28.10.2022 АО "ОЭЗ ППТ "Алабуга" в сфере водоснабжения и водоотведения по развитию, модернизации и реконструкции систем коммунальной инфраструктуры, на территории городского поселения Город Елабуга, Елабужский муниципальный район на 2023-2025 годы</t>
  </si>
  <si>
    <t>Инвестиционная программа № 142/о от 28.10.2022 в сфере водоснабжения и водоотведения по развитию, реконструкции и модернизации систем коммунального водоснабжения и водоотведения, на территории городского поселения Город Елабуга, Елабужский муниципальный район на 2023-2026 годы</t>
  </si>
  <si>
    <t>Инвестиционная программа № 143/о от 28.10.2022 АО "Мамадышский водоканал" в сфере водоснабжения и водоотведения по реконструкции объектов централизованных систем водоснабжения и водоотведения, на территории городского поселения Город Мамадыш, Мамадышский муниципальный район на 2023-2025 годы</t>
  </si>
  <si>
    <t>Инвестиционная программа № 144/о от 28.10.2022 ООО "Промочистка"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поселения Город Нурлат, Нурлатский муниципальный район на 2023-2025 годы</t>
  </si>
  <si>
    <t>Инвестиционная программа № 148/0 от 10.06.2024 ООО "ТГ" в сфере водоснабжения и водоотведения по реконструкции и модернизации систем водоcнабжения и водоотведения, на территории городского округа Казань на 2025-2027 годы</t>
  </si>
  <si>
    <t>01.01.2025</t>
  </si>
  <si>
    <t>31.12.2027</t>
  </si>
  <si>
    <t>Инвестиционная программа № 148/о от 10.06.2024 ООО "ТГ" в сфере водоснабжения и водоотведения по реконструкции и модернизации систем водоcнабжения и водоотведения, на территории городского округа Казань на 2025-2027 годы</t>
  </si>
  <si>
    <t>Инвестиционная программа № 298/о от 28.08.2024 ООО "Челныводоканал" в сфере водоснабжения и водоотведения в отношении систем водоснабжения и водоотведения, на территории городского округа Набережные Челны на 2025-2027 годы</t>
  </si>
  <si>
    <t>Инвестиционная программа № 298/о от 28.08.2024 ООО "Челныводоканал" в сфере водоснабжения и водоотведения по строительству, реконструкции и модернизации централизованных систем холодного водоснабжения и водоотведения, на территории городского округа Набережные Челны на 2025-2027 годы</t>
  </si>
  <si>
    <t>Инвестиционная программа № 378/о от 17.09.2024 ООО "Челныводоканал" в сфере водоснабжения и водоотведения по строительству, реконструкции и модернизации систем водоснабжения и водоотведения, на территории городского округа Набережные Челны на 2025-2027 годы</t>
  </si>
  <si>
    <t>Инвестиционная программа № 399/о от 25.09.2024 АО "Азнакаевское ПТС" в сфере водоснабжения и водоотведения по модернизации объектов централизованных систем водоснабжения и водоотведения, на территории городского поселения Город Азнакаево, Азнакаевский муниципальный район на 2025 год</t>
  </si>
  <si>
    <t>Инвестиционная программа № 399/о от 25.09.2024 АО "Азнакаевское ПТС" в сфере водоснабжения и водоотведения по модернизации систем водоcнабжения и водоотведения, на территории городского поселения Город Азнакаево, Азнакаевский муниципальный район на 2025-2027 годы</t>
  </si>
  <si>
    <t>Инвестиционная программа № 535/о от 29.10.2024 ООО "Челныводоканал" в сфере водоснабжения и водоотведения в отношении объектов централизованных систем водоснабжения и водоотведения, на территории городского округа Набережные Челны на 2025-2029 годы</t>
  </si>
  <si>
    <t>31.12.2029</t>
  </si>
  <si>
    <t>Инвестиционная программа от 01.09.2021 АО "Азнакаевское ПТС" в сфере водоснабжения и водоотведения по модернизации объектов централизованных систем водоснабжения и водоотведения на 2022-2024 годы</t>
  </si>
  <si>
    <t>01.01.2022</t>
  </si>
  <si>
    <t>31.12.2024</t>
  </si>
  <si>
    <t>Инвестиционная программа от 01.09.2021 АО "Азнакаевское ПТС" в сфере водоснабжения и водоотведения по модернизации объектов централизованных систем водоснабжения и водоотведения, на территории городского поселения поселок городского типа Актюбинский, Азнакаевский муниципальный район на 2022-2024 годы</t>
  </si>
  <si>
    <t>Инвестиционная программа от 01.09.2021 АО "Азнакаевское ПТС" в сфере водоснабжения и водоотведения по модернизации объектов централизованных систем водоснабжения и водоотведения, на территории городского поселения поселок городского типа Джалиль, Сармановский муниципальный район на 2022-2024 годы</t>
  </si>
  <si>
    <t>Инвестиционная программа от 15.09.2021 АО "ОЭЗ "Иннополис" в сфере водоснабжения и водоотведения по строительству и обеспечению необходимого уровня мощностей для достижения целевых показателей развития объектов централизованных систем водоснабжения и водоотведения на 2022-2024 годы</t>
  </si>
  <si>
    <t>Инвестиционная программа от 27.10.2020 АО "Водопроводно-канализационное и энергетическое хозяйство" в сфере водоснабжения по модернизации и реконструкции систем коммунальной инфраструктуры, на территории муниципального района Нижнекамский на 2021-2023 годы</t>
  </si>
  <si>
    <t>01.01.2021</t>
  </si>
  <si>
    <t>31.12.2023</t>
  </si>
  <si>
    <t>Инвестиционная программа от 28.09.2021 МУП "Водоканал" в сфере водоснабжения и водоотведения по модернизации и реконструкции систем водоснабжения и водоотведения, на территории городского округа Казань на 2022-2028 годы</t>
  </si>
  <si>
    <t>Инвестиционная программа от 29.10.2020 АО "СОВ-НКНХ" в сфере водоснабжения по модернизации и реконструкции объектов централизованной системы водоснабжения, на территории муниципального района Нижнекамский на 2021-2023 годы</t>
  </si>
  <si>
    <t>Инвестиционная программа от 29.10.2020 АО "СОВ-НКНХ" в сфере водоснабжения по модернизации и реконструкции систем инженерной инфраструктуры, на территории муниципального района Нижнекамский на 2021-2026 годы</t>
  </si>
  <si>
    <t>Инвестиционная программа от 29.10.2020 ООО "РСК" в сфере водоснабжения и водоотведения по комплексному развитию систем коммунальной инфраструктуры, на территории городского округа Казань на 2021-2023 годы</t>
  </si>
  <si>
    <t>Инвестиционная программа от 29.10.2020 ООО "РСК" в сфере водоснабжения и водоотведения по развитию систем коммунального водоснабжения и водоотведения, на территории городского округа Казань на 2021-2024 годы</t>
  </si>
  <si>
    <t>Инвестиционная программа от 29.10.2021 АО "Коммунальные сети Мензелинского района"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поселения Город Мензелинск, Мензелинский муниципальный район на 2022-2024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</si>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</sst>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r9="http://schemas.microsoft.com/office/spreadsheetml/2016/revision9" mc:Ignorable="xr9">
  <numFmts count="14">
    <numFmt numFmtId="176" formatCode="_-* #\ ##0.00\ _₽_-;\-* #\ ##0.00\ _₽_-;_-* &quot;-&quot;??\ _₽_-;_-@_-"/>
    <numFmt numFmtId="177" formatCode="_-* #\ ##0.00\ &quot;₽&quot;_-;\-* #\ ##0.00\ &quot;₽&quot;_-;_-* &quot;-&quot;??\ &quot;₽&quot;_-;_-@_-"/>
    <numFmt numFmtId="178" formatCode="_-* #\ ##0\ _₽_-;\-* #\ ##0\ _₽_-;_-* &quot;-&quot;\ _₽_-;_-@_-"/>
    <numFmt numFmtId="179" formatCode="_-* #\ ##0\ &quot;₽&quot;_-;\-* #\ ##0\ &quot;₽&quot;_-;_-* &quot;-&quot;\ &quot;₽&quot;_-;_-@_-"/>
    <numFmt numFmtId="180" formatCode="_-* #\ ##0.00[$€-1]_-;\-* #\ ##0.00[$€-1]_-;_-* &quot;-&quot;??[$€-1]_-"/>
    <numFmt numFmtId="181" formatCode="#\ ##0;[Red]\-#\ ##0"/>
    <numFmt numFmtId="182" formatCode="#\ ##0.0"/>
    <numFmt numFmtId="183" formatCode="#\ ##0.000"/>
    <numFmt numFmtId="184" formatCode="#\ ##0.0000"/>
    <numFmt numFmtId="185" formatCode="#\ ##0.00"/>
    <numFmt numFmtId="186" formatCode="dd\.mm\.yyyy"/>
    <numFmt numFmtId="187" formatCode="#\ ##0"/>
    <numFmt numFmtId="188" formatCode="000000"/>
    <numFmt numFmtId="189" formatCode="h:mm;@"/>
  </numFmts>
  <fonts count="132">
    <font>
      <sz val="9"/>
      <color rgb="FF000000"/>
      <name val="Tahoma"/>
      <charset val="134"/>
    </font>
    <font>
      <b/>
      <u/>
      <sz val="9"/>
      <name val="Tahoma"/>
      <charset val="134"/>
    </font>
    <font>
      <sz val="10"/>
      <name val="Tahoma"/>
      <charset val="134"/>
    </font>
    <font>
      <b/>
      <sz val="9"/>
      <name val="Tahoma"/>
      <charset val="134"/>
    </font>
    <font>
      <sz val="9"/>
      <name val="Tahoma"/>
      <charset val="134"/>
    </font>
    <font>
      <sz val="10"/>
      <name val="Arial Cyr"/>
      <charset val="134"/>
    </font>
    <font>
      <sz val="11"/>
      <color theme="1"/>
      <name val="Calibri"/>
      <charset val="134"/>
      <scheme val="minor"/>
    </font>
    <font>
      <sz val="1"/>
      <name val="Tahoma"/>
      <charset val="134"/>
    </font>
    <font>
      <sz val="9"/>
      <color theme="0"/>
      <name val="Tahoma"/>
      <charset val="134"/>
    </font>
    <font>
      <sz val="11"/>
      <name val="Webdings2"/>
      <charset val="134"/>
    </font>
    <font>
      <sz val="1"/>
      <color theme="0"/>
      <name val="Tahoma"/>
      <charset val="134"/>
    </font>
    <font>
      <sz val="11"/>
      <color rgb="FFBCBCBC"/>
      <name val="Wingdings 2"/>
      <charset val="134"/>
    </font>
    <font>
      <sz val="1"/>
      <name val="Webdings2"/>
      <charset val="134"/>
    </font>
    <font>
      <sz val="1"/>
      <color theme="0"/>
      <name val="Webdings2"/>
      <charset val="134"/>
    </font>
    <font>
      <sz val="1"/>
      <color rgb="FFBCBCBC"/>
      <name val="Tahoma"/>
      <charset val="134"/>
    </font>
    <font>
      <sz val="11"/>
      <name val="Wingdings 2"/>
      <charset val="134"/>
    </font>
    <font>
      <b/>
      <sz val="9"/>
      <color rgb="FF000080"/>
      <name val="Tahoma"/>
      <charset val="134"/>
    </font>
    <font>
      <sz val="9"/>
      <color rgb="FF000080"/>
      <name val="Tahoma"/>
      <charset val="134"/>
    </font>
    <font>
      <b/>
      <sz val="1"/>
      <color rgb="FF000080"/>
      <name val="Tahoma"/>
      <charset val="134"/>
    </font>
    <font>
      <sz val="1"/>
      <color rgb="FF000080"/>
      <name val="Tahoma"/>
      <charset val="134"/>
    </font>
    <font>
      <sz val="9"/>
      <color rgb="FFFFFFFF"/>
      <name val="Tahoma"/>
      <charset val="134"/>
    </font>
    <font>
      <sz val="1"/>
      <color rgb="FF000000"/>
      <name val="Tahoma"/>
      <charset val="134"/>
    </font>
    <font>
      <sz val="15"/>
      <color rgb="FF000000"/>
      <name val="Tahoma"/>
      <charset val="134"/>
    </font>
    <font>
      <sz val="8"/>
      <name val="Tahoma"/>
      <charset val="134"/>
    </font>
    <font>
      <sz val="7"/>
      <color rgb="FF000000"/>
      <name val="Tahoma"/>
      <charset val="134"/>
    </font>
    <font>
      <sz val="7"/>
      <name val="Tahoma"/>
      <charset val="134"/>
    </font>
    <font>
      <sz val="3"/>
      <name val="Tahoma"/>
      <charset val="134"/>
    </font>
    <font>
      <sz val="9"/>
      <color rgb="FFBCBCBC"/>
      <name val="Tahoma"/>
      <charset val="134"/>
    </font>
    <font>
      <sz val="12"/>
      <name val="Marlett"/>
      <charset val="134"/>
    </font>
    <font>
      <sz val="18"/>
      <color rgb="FF000000"/>
      <name val="Tahoma"/>
      <charset val="134"/>
    </font>
    <font>
      <sz val="9"/>
      <color rgb="FF333399"/>
      <name val="Tahoma"/>
      <charset val="134"/>
    </font>
    <font>
      <sz val="5"/>
      <color rgb="FFFF0000"/>
      <name val="Tahoma"/>
      <charset val="134"/>
    </font>
    <font>
      <sz val="9"/>
      <color theme="1"/>
      <name val="Tahoma"/>
      <charset val="134"/>
    </font>
    <font>
      <b/>
      <sz val="9"/>
      <color rgb="FF0070C0"/>
      <name val="Tahoma"/>
      <charset val="134"/>
    </font>
    <font>
      <sz val="12"/>
      <color theme="0"/>
      <name val="Tahoma"/>
      <charset val="134"/>
    </font>
    <font>
      <sz val="12"/>
      <color rgb="FF000000"/>
      <name val="Tahoma"/>
      <charset val="134"/>
    </font>
    <font>
      <b/>
      <sz val="9"/>
      <color rgb="FF000000"/>
      <name val="Tahoma"/>
      <charset val="134"/>
    </font>
    <font>
      <sz val="8"/>
      <color rgb="FFFFFFFF"/>
      <name val="Tahoma"/>
      <charset val="134"/>
    </font>
    <font>
      <sz val="8"/>
      <color theme="0"/>
      <name val="Tahoma"/>
      <charset val="134"/>
    </font>
    <font>
      <b/>
      <sz val="8"/>
      <color theme="0"/>
      <name val="Wingdings 2"/>
      <charset val="134"/>
    </font>
    <font>
      <b/>
      <sz val="8"/>
      <color rgb="FFC0C0C0"/>
      <name val="Wingdings 2"/>
      <charset val="134"/>
    </font>
    <font>
      <sz val="8"/>
      <color rgb="FF000080"/>
      <name val="Tahoma"/>
      <charset val="134"/>
    </font>
    <font>
      <sz val="11"/>
      <color theme="0"/>
      <name val="Tahoma"/>
      <charset val="134"/>
    </font>
    <font>
      <sz val="18"/>
      <name val="Tahoma"/>
      <charset val="134"/>
    </font>
    <font>
      <b/>
      <sz val="9"/>
      <color rgb="FFFFFFFF"/>
      <name val="Tahoma"/>
      <charset val="134"/>
    </font>
    <font>
      <u/>
      <sz val="9"/>
      <color rgb="FF333399"/>
      <name val="Tahoma"/>
      <charset val="134"/>
    </font>
    <font>
      <b/>
      <u/>
      <sz val="9"/>
      <color rgb="FF000080"/>
      <name val="Tahoma"/>
      <charset val="134"/>
    </font>
    <font>
      <sz val="18"/>
      <color theme="0"/>
      <name val="Tahoma"/>
      <charset val="134"/>
    </font>
    <font>
      <u/>
      <sz val="9"/>
      <name val="Tahoma"/>
      <charset val="134"/>
    </font>
    <font>
      <sz val="8"/>
      <color rgb="FFBCBCBC"/>
      <name val="Tahoma"/>
      <charset val="134"/>
    </font>
    <font>
      <sz val="3"/>
      <color rgb="FF000000"/>
      <name val="Tahoma"/>
      <charset val="134"/>
    </font>
    <font>
      <sz val="14"/>
      <color rgb="FFBCBCBC"/>
      <name val="Calibri"/>
      <charset val="134"/>
    </font>
    <font>
      <b/>
      <sz val="3"/>
      <name val="Tahoma"/>
      <charset val="134"/>
    </font>
    <font>
      <sz val="7"/>
      <color theme="0" tint="-0.5"/>
      <name val="Tahoma"/>
      <charset val="134"/>
    </font>
    <font>
      <sz val="15"/>
      <color theme="0"/>
      <name val="Tahoma"/>
      <charset val="134"/>
    </font>
    <font>
      <b/>
      <sz val="10"/>
      <name val="Tahoma"/>
      <charset val="134"/>
    </font>
    <font>
      <sz val="10"/>
      <color rgb="FF000000"/>
      <name val="Arial"/>
      <charset val="134"/>
    </font>
    <font>
      <sz val="9"/>
      <color rgb="FFFF0000"/>
      <name val="Tahoma"/>
      <charset val="134"/>
    </font>
    <font>
      <sz val="12"/>
      <name val="Tahoma"/>
      <charset val="134"/>
    </font>
    <font>
      <sz val="15"/>
      <name val="Tahoma"/>
      <charset val="134"/>
    </font>
    <font>
      <u/>
      <sz val="1"/>
      <color rgb="FF333399"/>
      <name val="Tahoma"/>
      <charset val="134"/>
    </font>
    <font>
      <sz val="19"/>
      <color theme="0"/>
      <name val="Tahoma"/>
      <charset val="134"/>
    </font>
    <font>
      <b/>
      <sz val="1"/>
      <color theme="0"/>
      <name val="Tahoma"/>
      <charset val="134"/>
    </font>
    <font>
      <sz val="1"/>
      <color rgb="FFFFFFFF"/>
      <name val="Tahoma"/>
      <charset val="134"/>
    </font>
    <font>
      <b/>
      <sz val="9"/>
      <color rgb="FFCC0000"/>
      <name val="Tahoma"/>
      <charset val="134"/>
    </font>
    <font>
      <b/>
      <sz val="1"/>
      <name val="Tahoma"/>
      <charset val="134"/>
    </font>
    <font>
      <sz val="1"/>
      <color rgb="FFFF0000"/>
      <name val="Tahoma"/>
      <charset val="134"/>
    </font>
    <font>
      <sz val="11"/>
      <color theme="0"/>
      <name val="Webdings2"/>
      <charset val="134"/>
    </font>
    <font>
      <sz val="11"/>
      <color theme="0"/>
      <name val="Wingdings 2"/>
      <charset val="134"/>
    </font>
    <font>
      <sz val="1"/>
      <color theme="0"/>
      <name val="Wingdings 2"/>
      <charset val="134"/>
    </font>
    <font>
      <sz val="9"/>
      <color theme="0"/>
      <name val="Webdings2"/>
      <charset val="134"/>
    </font>
    <font>
      <sz val="3"/>
      <color rgb="FFFFFFFF"/>
      <name val="Tahoma"/>
      <charset val="134"/>
    </font>
    <font>
      <sz val="3"/>
      <color rgb="FFBCBCBC"/>
      <name val="Tahoma"/>
      <charset val="134"/>
    </font>
    <font>
      <sz val="3"/>
      <color theme="0"/>
      <name val="Tahoma"/>
      <charset val="134"/>
    </font>
    <font>
      <sz val="9"/>
      <color rgb="FF0066CC"/>
      <name val="Tahoma"/>
      <charset val="134"/>
    </font>
    <font>
      <b/>
      <sz val="10"/>
      <color theme="1"/>
      <name val="Tahoma"/>
      <charset val="134"/>
    </font>
    <font>
      <sz val="10"/>
      <color theme="1"/>
      <name val="Tahoma"/>
      <charset val="134"/>
    </font>
    <font>
      <sz val="9"/>
      <name val="Wingdings 2"/>
      <charset val="134"/>
    </font>
    <font>
      <sz val="9"/>
      <color rgb="FFFFFFFF"/>
      <name val="Wingdings 2"/>
      <charset val="134"/>
    </font>
    <font>
      <b/>
      <sz val="11"/>
      <color rgb="FF000000"/>
      <name val="Calibri"/>
      <charset val="134"/>
    </font>
    <font>
      <b/>
      <sz val="1"/>
      <color theme="0"/>
      <name val="Calibri"/>
      <charset val="134"/>
    </font>
    <font>
      <sz val="11"/>
      <color rgb="FF000000"/>
      <name val="Calibri"/>
      <charset val="134"/>
    </font>
    <font>
      <b/>
      <sz val="11"/>
      <color theme="0"/>
      <name val="Calibri"/>
      <charset val="134"/>
    </font>
    <font>
      <b/>
      <sz val="9"/>
      <name val="Calibri"/>
      <charset val="134"/>
    </font>
    <font>
      <sz val="9"/>
      <color rgb="FFBCBCBC"/>
      <name val="Wingdings 2"/>
      <charset val="134"/>
    </font>
    <font>
      <sz val="5"/>
      <color theme="0"/>
      <name val="Tahoma"/>
      <charset val="134"/>
    </font>
    <font>
      <sz val="9"/>
      <color rgb="FFCC0000"/>
      <name val="Tahoma"/>
      <charset val="134"/>
    </font>
    <font>
      <sz val="11"/>
      <color rgb="FF000000"/>
      <name val="Tahoma"/>
      <charset val="134"/>
    </font>
    <font>
      <sz val="3"/>
      <color rgb="FFCC0000"/>
      <name val="Tahoma"/>
      <charset val="134"/>
    </font>
    <font>
      <sz val="16"/>
      <name val="Tahoma"/>
      <charset val="134"/>
    </font>
    <font>
      <sz val="3"/>
      <color rgb="FF993300"/>
      <name val="Tahoma"/>
      <charset val="134"/>
    </font>
    <font>
      <sz val="16"/>
      <color rgb="FFFFFFFF"/>
      <name val="Tahoma"/>
      <charset val="134"/>
    </font>
    <font>
      <u/>
      <sz val="9"/>
      <color rgb="FF000080"/>
      <name val="Tahoma"/>
      <charset val="134"/>
    </font>
    <font>
      <sz val="7"/>
      <color rgb="FFFFFFFF"/>
      <name val="Tahoma"/>
      <charset val="134"/>
    </font>
    <font>
      <b/>
      <sz val="9"/>
      <color theme="0"/>
      <name val="Tahoma"/>
      <charset val="134"/>
    </font>
    <font>
      <b/>
      <u/>
      <sz val="11"/>
      <color rgb="FF0000FF"/>
      <name val="Tahoma"/>
      <charset val="134"/>
    </font>
    <font>
      <u/>
      <sz val="20"/>
      <color rgb="FF003366"/>
      <name val="Tahoma"/>
      <charset val="134"/>
    </font>
    <font>
      <b/>
      <sz val="10"/>
      <color rgb="FF000000"/>
      <name val="Tahoma"/>
      <charset val="134"/>
    </font>
    <font>
      <sz val="10"/>
      <color rgb="FF000000"/>
      <name val="Tahoma"/>
      <charset val="134"/>
    </font>
    <font>
      <sz val="11"/>
      <color rgb="FFFFFFFF"/>
      <name val="Tahoma"/>
      <charset val="134"/>
    </font>
    <font>
      <sz val="11"/>
      <color rgb="FF000000"/>
      <name val="Marlett"/>
      <charset val="134"/>
    </font>
    <font>
      <sz val="11"/>
      <color indexed="0"/>
      <name val="Calibri"/>
      <charset val="134"/>
    </font>
    <font>
      <u/>
      <sz val="9"/>
      <color theme="10"/>
      <name val="Tahoma"/>
      <charset val="134"/>
    </font>
    <font>
      <u/>
      <sz val="9"/>
      <color theme="11"/>
      <name val="Tahoma"/>
      <charset val="134"/>
    </font>
    <font>
      <sz val="11"/>
      <color rgb="FFFF0000"/>
      <name val="Calibri"/>
      <charset val="134"/>
      <scheme val="minor"/>
    </font>
    <font>
      <sz val="18"/>
      <color theme="3"/>
      <name val="Cambria"/>
      <charset val="134"/>
      <scheme val="major"/>
    </font>
    <font>
      <i/>
      <sz val="11"/>
      <color rgb="FF7F7F7F"/>
      <name val="Calibri"/>
      <charset val="134"/>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134"/>
      <scheme val="minor"/>
    </font>
    <font>
      <b/>
      <sz val="11"/>
      <color rgb="FF3F3F3F"/>
      <name val="Calibri"/>
      <charset val="134"/>
      <scheme val="minor"/>
    </font>
    <font>
      <b/>
      <sz val="11"/>
      <color rgb="FFFA7D00"/>
      <name val="Calibri"/>
      <charset val="134"/>
      <scheme val="minor"/>
    </font>
    <font>
      <b/>
      <sz val="11"/>
      <color theme="0"/>
      <name val="Calibri"/>
      <charset val="134"/>
      <scheme val="minor"/>
    </font>
    <font>
      <sz val="11"/>
      <color rgb="FFFA7D00"/>
      <name val="Calibri"/>
      <charset val="134"/>
      <scheme val="minor"/>
    </font>
    <font>
      <b/>
      <sz val="11"/>
      <color theme="1"/>
      <name val="Calibri"/>
      <charset val="134"/>
      <scheme val="minor"/>
    </font>
    <font>
      <sz val="11"/>
      <color rgb="FF006100"/>
      <name val="Calibri"/>
      <charset val="134"/>
      <scheme val="minor"/>
    </font>
    <font>
      <sz val="11"/>
      <color rgb="FF9C0006"/>
      <name val="Calibri"/>
      <charset val="134"/>
      <scheme val="minor"/>
    </font>
    <font>
      <sz val="11"/>
      <color rgb="FF9C5700"/>
      <name val="Calibri"/>
      <charset val="134"/>
      <scheme val="minor"/>
    </font>
    <font>
      <sz val="11"/>
      <color theme="0"/>
      <name val="Calibri"/>
      <charset val="134"/>
      <scheme val="minor"/>
    </font>
    <font>
      <sz val="12"/>
      <name val="Arial"/>
      <charset val="134"/>
    </font>
    <font>
      <sz val="10"/>
      <name val="Helv"/>
      <charset val="134"/>
    </font>
    <font>
      <sz val="8"/>
      <name val="Arial"/>
      <charset val="134"/>
    </font>
    <font>
      <sz val="8"/>
      <name val="Palatino"/>
      <charset val="134"/>
    </font>
    <font>
      <u/>
      <sz val="10"/>
      <color rgb="FF800080"/>
      <name val="Arial Cyr"/>
      <charset val="134"/>
    </font>
    <font>
      <sz val="8"/>
      <name val="Helv"/>
      <charset val="134"/>
    </font>
    <font>
      <sz val="10"/>
      <name val="Arial"/>
      <charset val="134"/>
    </font>
    <font>
      <vertAlign val="superscript"/>
      <sz val="9"/>
      <name val="Tahoma"/>
      <charset val="204"/>
    </font>
    <font>
      <sz val="9"/>
      <name val="Tahoma"/>
      <charset val="204"/>
    </font>
    <font>
      <b/>
      <sz val="9"/>
      <name val="Tahoma"/>
      <charset val="204"/>
    </font>
    <font>
      <sz val="9"/>
      <name val="Arial"/>
      <charset val="134"/>
    </font>
    <font>
      <sz val="9"/>
      <name val="Tahoma"/>
      <charset val="134"/>
    </font>
  </fonts>
  <fills count="58">
    <fill>
      <patternFill patternType="none"/>
    </fill>
    <fill>
      <patternFill patternType="gray125"/>
    </fill>
    <fill>
      <patternFill patternType="solid">
        <fgColor rgb="FFD7EAD3"/>
        <bgColor indexed="64"/>
      </patternFill>
    </fill>
    <fill>
      <patternFill patternType="solid">
        <fgColor rgb="FFFFFFFF"/>
        <bgColor indexed="64"/>
      </patternFill>
    </fill>
    <fill>
      <patternFill patternType="solid">
        <fgColor rgb="FF8DB4E2"/>
        <bgColor indexed="64"/>
      </patternFill>
    </fill>
    <fill>
      <patternFill patternType="solid">
        <fgColor theme="2" tint="-0.1"/>
        <bgColor indexed="64"/>
      </patternFill>
    </fill>
    <fill>
      <patternFill patternType="solid">
        <fgColor theme="5" tint="0.8"/>
        <bgColor indexed="64"/>
      </patternFill>
    </fill>
    <fill>
      <patternFill patternType="solid">
        <fgColor theme="9" tint="-0.25"/>
        <bgColor indexed="64"/>
      </patternFill>
    </fill>
    <fill>
      <patternFill patternType="solid">
        <fgColor theme="6" tint="0.4"/>
        <bgColor indexed="64"/>
      </patternFill>
    </fill>
    <fill>
      <patternFill patternType="solid">
        <fgColor theme="7" tint="0.8"/>
        <bgColor indexed="64"/>
      </patternFill>
    </fill>
    <fill>
      <patternFill patternType="solid">
        <fgColor rgb="FFB7E4FF"/>
        <bgColor indexed="64"/>
      </patternFill>
    </fill>
    <fill>
      <patternFill patternType="solid">
        <fgColor rgb="FFFFFFC0"/>
        <bgColor indexed="64"/>
      </patternFill>
    </fill>
    <fill>
      <patternFill patternType="lightDown">
        <fgColor rgb="FFC0C0C0"/>
      </patternFill>
    </fill>
    <fill>
      <patternFill patternType="solid">
        <fgColor rgb="FFE3FAFD"/>
        <bgColor indexed="64"/>
      </patternFill>
    </fill>
    <fill>
      <patternFill patternType="solid">
        <fgColor rgb="FFC0C0C0"/>
        <bgColor indexed="64"/>
      </patternFill>
    </fill>
    <fill>
      <patternFill patternType="solid">
        <fgColor rgb="FFFFB7B7"/>
        <bgColor indexed="64"/>
      </patternFill>
    </fill>
    <fill>
      <patternFill patternType="lightDown">
        <fgColor rgb="FFB7E4FF"/>
        <bgColor rgb="FFFFFFFF"/>
      </patternFill>
    </fill>
    <fill>
      <patternFill patternType="solid">
        <fgColor rgb="FF0066CC"/>
        <bgColor indexed="64"/>
      </patternFill>
    </fill>
    <fill>
      <patternFill patternType="solid">
        <fgColor rgb="FFFFFF00"/>
        <bgColor indexed="64"/>
      </patternFill>
    </fill>
    <fill>
      <patternFill patternType="solid">
        <fgColor rgb="FFCCCCFF"/>
        <bgColor indexed="64"/>
      </patternFill>
    </fill>
    <fill>
      <patternFill patternType="solid">
        <fgColor rgb="FFFF9900"/>
        <bgColor indexed="64"/>
      </patternFill>
    </fill>
    <fill>
      <patternFill patternType="solid">
        <fgColor rgb="FF808000"/>
        <bgColor indexed="64"/>
      </patternFill>
    </fill>
    <fill>
      <patternFill patternType="solid">
        <fgColor rgb="FFCC99FF"/>
        <bgColor indexed="64"/>
      </patternFill>
    </fill>
    <fill>
      <patternFill patternType="solid">
        <fgColor rgb="FFEAEBEE"/>
        <bgColor indexed="64"/>
      </patternFill>
    </fill>
    <fill>
      <patternFill patternType="solid">
        <fgColor theme="0" tint="-0.15"/>
        <bgColor indexed="64"/>
      </patternFill>
    </fill>
    <fill>
      <patternFill patternType="solid">
        <fgColor rgb="FF00CCFF"/>
        <bgColor indexed="64"/>
      </patternFill>
    </fill>
    <fill>
      <patternFill patternType="solid">
        <fgColor theme="9" tint="0.8"/>
        <bgColor indexed="64"/>
      </patternFill>
    </fill>
    <fill>
      <patternFill patternType="solid">
        <fgColor theme="0"/>
        <bgColor indexed="64"/>
      </patternFill>
    </fill>
    <fill>
      <patternFill patternType="solid">
        <fgColor rgb="FFBCBCBC"/>
        <bgColor indexed="64"/>
      </patternFill>
    </fill>
    <fill>
      <patternFill patternType="solid">
        <fgColor rgb="FFD3DBDB"/>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8"/>
        <bgColor indexed="64"/>
      </patternFill>
    </fill>
    <fill>
      <patternFill patternType="solid">
        <fgColor theme="4" tint="0.6"/>
        <bgColor indexed="64"/>
      </patternFill>
    </fill>
    <fill>
      <patternFill patternType="solid">
        <fgColor theme="4" tint="0.4"/>
        <bgColor indexed="64"/>
      </patternFill>
    </fill>
    <fill>
      <patternFill patternType="solid">
        <fgColor theme="5"/>
        <bgColor indexed="64"/>
      </patternFill>
    </fill>
    <fill>
      <patternFill patternType="solid">
        <fgColor theme="5" tint="0.6"/>
        <bgColor indexed="64"/>
      </patternFill>
    </fill>
    <fill>
      <patternFill patternType="solid">
        <fgColor theme="5" tint="0.4"/>
        <bgColor indexed="64"/>
      </patternFill>
    </fill>
    <fill>
      <patternFill patternType="solid">
        <fgColor theme="6"/>
        <bgColor indexed="64"/>
      </patternFill>
    </fill>
    <fill>
      <patternFill patternType="solid">
        <fgColor theme="6" tint="0.8"/>
        <bgColor indexed="64"/>
      </patternFill>
    </fill>
    <fill>
      <patternFill patternType="solid">
        <fgColor theme="6" tint="0.6"/>
        <bgColor indexed="64"/>
      </patternFill>
    </fill>
    <fill>
      <patternFill patternType="solid">
        <fgColor theme="7"/>
        <bgColor indexed="64"/>
      </patternFill>
    </fill>
    <fill>
      <patternFill patternType="solid">
        <fgColor theme="7" tint="0.6"/>
        <bgColor indexed="64"/>
      </patternFill>
    </fill>
    <fill>
      <patternFill patternType="solid">
        <fgColor theme="7" tint="0.4"/>
        <bgColor indexed="64"/>
      </patternFill>
    </fill>
    <fill>
      <patternFill patternType="solid">
        <fgColor theme="8"/>
        <bgColor indexed="64"/>
      </patternFill>
    </fill>
    <fill>
      <patternFill patternType="solid">
        <fgColor theme="8" tint="0.8"/>
        <bgColor indexed="64"/>
      </patternFill>
    </fill>
    <fill>
      <patternFill patternType="solid">
        <fgColor theme="8" tint="0.6"/>
        <bgColor indexed="64"/>
      </patternFill>
    </fill>
    <fill>
      <patternFill patternType="solid">
        <fgColor theme="8" tint="0.4"/>
        <bgColor indexed="64"/>
      </patternFill>
    </fill>
    <fill>
      <patternFill patternType="solid">
        <fgColor theme="9"/>
        <bgColor indexed="64"/>
      </patternFill>
    </fill>
    <fill>
      <patternFill patternType="solid">
        <fgColor theme="9" tint="0.6"/>
        <bgColor indexed="64"/>
      </patternFill>
    </fill>
    <fill>
      <patternFill patternType="solid">
        <fgColor theme="9" tint="0.4"/>
        <bgColor indexed="64"/>
      </patternFill>
    </fill>
    <fill>
      <patternFill patternType="solid">
        <fgColor rgb="FFFFFF99"/>
        <bgColor indexed="64"/>
      </patternFill>
    </fill>
  </fills>
  <borders count="75">
    <border>
      <left/>
      <right/>
      <top/>
      <bottom/>
      <diagonal/>
    </border>
    <border>
      <left style="thin">
        <color rgb="FFBCBCBC"/>
      </left>
      <right style="thin">
        <color rgb="FFBCBCBC"/>
      </right>
      <top style="thin">
        <color rgb="FFBCBCBC"/>
      </top>
      <bottom style="thin">
        <color rgb="FFBCBCBC"/>
      </bottom>
      <diagonal/>
    </border>
    <border>
      <left/>
      <right/>
      <top style="dotted">
        <color rgb="FF000000"/>
      </top>
      <bottom style="dotted">
        <color rgb="FF00000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style="thin">
        <color rgb="FF000000"/>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top style="thin">
        <color rgb="FFC0C0C0"/>
      </top>
      <bottom/>
      <diagonal/>
    </border>
    <border>
      <left/>
      <right/>
      <top/>
      <bottom style="thin">
        <color rgb="FFC0C0C0"/>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right style="thin">
        <color rgb="FFC0C0C0"/>
      </right>
      <top/>
      <bottom/>
      <diagonal/>
    </border>
    <border>
      <left/>
      <right style="thin">
        <color rgb="FFC0C0C0"/>
      </right>
      <top style="thin">
        <color rgb="FFC0C0C0"/>
      </top>
      <bottom style="thin">
        <color rgb="FFC0C0C0"/>
      </bottom>
      <diagonal/>
    </border>
    <border>
      <left style="thin">
        <color rgb="FFC0C0C0"/>
      </left>
      <right/>
      <top style="thin">
        <color rgb="FFC0C0C0"/>
      </top>
      <bottom/>
      <diagonal/>
    </border>
    <border>
      <left style="thin">
        <color rgb="FFC0C0C0"/>
      </left>
      <right/>
      <top/>
      <bottom style="thin">
        <color rgb="FFC0C0C0"/>
      </bottom>
      <diagonal/>
    </border>
    <border>
      <left style="thin">
        <color rgb="FFC0C0C0"/>
      </left>
      <right/>
      <top/>
      <bottom/>
      <diagonal/>
    </border>
    <border>
      <left/>
      <right style="thin">
        <color rgb="FFC0C0C0"/>
      </right>
      <top/>
      <bottom style="thin">
        <color rgb="FFC0C0C0"/>
      </bottom>
      <diagonal/>
    </border>
    <border>
      <left style="thin">
        <color rgb="FFBCBCBC"/>
      </left>
      <right/>
      <top style="medium">
        <color rgb="FFBCBCBC"/>
      </top>
      <bottom/>
      <diagonal/>
    </border>
    <border>
      <left/>
      <right/>
      <top style="medium">
        <color rgb="FFBCBCBC"/>
      </top>
      <bottom/>
      <diagonal/>
    </border>
    <border>
      <left style="thin">
        <color rgb="FFC0C0C0"/>
      </left>
      <right style="thin">
        <color rgb="FFC0C0C0"/>
      </right>
      <top style="thin">
        <color rgb="FFC0C0C0"/>
      </top>
      <bottom style="medium">
        <color rgb="FFC0C0C0"/>
      </bottom>
      <diagonal/>
    </border>
    <border>
      <left/>
      <right/>
      <top/>
      <bottom style="medium">
        <color rgb="FFC0C0C0"/>
      </bottom>
      <diagonal/>
    </border>
    <border>
      <left style="thin">
        <color rgb="FFBCBCBC"/>
      </left>
      <right/>
      <top style="medium">
        <color rgb="FFBCBCBC"/>
      </top>
      <bottom style="thin">
        <color rgb="FFC0C0C0"/>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right/>
      <top style="thin">
        <color rgb="FFC0C0C0"/>
      </top>
      <bottom style="medium">
        <color rgb="FFC0C0C0"/>
      </bottom>
      <diagonal/>
    </border>
    <border>
      <left/>
      <right/>
      <top style="medium">
        <color rgb="FFBCBCBC"/>
      </top>
      <bottom style="thin">
        <color rgb="FFBCBCBC"/>
      </bottom>
      <diagonal/>
    </border>
    <border>
      <left/>
      <right/>
      <top style="thin">
        <color rgb="FFBCBCBC"/>
      </top>
      <bottom style="thin">
        <color rgb="FFC0C0C0"/>
      </bottom>
      <diagonal/>
    </border>
    <border>
      <left style="thin">
        <color rgb="FFC0C0C0"/>
      </left>
      <right/>
      <top style="thin">
        <color rgb="FFBCBCBC"/>
      </top>
      <bottom style="thin">
        <color rgb="FFC0C0C0"/>
      </bottom>
      <diagonal/>
    </border>
    <border>
      <left/>
      <right style="thin">
        <color rgb="FFBCBCBC"/>
      </right>
      <top style="medium">
        <color rgb="FFBCBCBC"/>
      </top>
      <bottom style="thin">
        <color rgb="FFBCBCBC"/>
      </bottom>
      <diagonal/>
    </border>
    <border>
      <left style="thin">
        <color theme="0" tint="-0.25"/>
      </left>
      <right style="thin">
        <color theme="0" tint="-0.25"/>
      </right>
      <top style="thin">
        <color theme="0" tint="-0.25"/>
      </top>
      <bottom style="thin">
        <color theme="0" tint="-0.25"/>
      </bottom>
      <diagonal/>
    </border>
    <border>
      <left/>
      <right style="thin">
        <color theme="0" tint="-0.25"/>
      </right>
      <top style="thin">
        <color rgb="FFC0C0C0"/>
      </top>
      <bottom style="thin">
        <color rgb="FFC0C0C0"/>
      </bottom>
      <diagonal/>
    </border>
    <border>
      <left style="thin">
        <color theme="0" tint="-0.25"/>
      </left>
      <right/>
      <top style="thin">
        <color theme="0" tint="-0.25"/>
      </top>
      <bottom style="thin">
        <color theme="0" tint="-0.25"/>
      </bottom>
      <diagonal/>
    </border>
    <border>
      <left/>
      <right style="thin">
        <color rgb="FFC0C0C0"/>
      </right>
      <top style="thin">
        <color rgb="FFC0C0C0"/>
      </top>
      <bottom/>
      <diagonal/>
    </border>
    <border>
      <left style="thin">
        <color rgb="FFC0C0C0"/>
      </left>
      <right style="thin">
        <color rgb="FFC0C0C0"/>
      </right>
      <top style="thin">
        <color rgb="FFC0C0C0"/>
      </top>
      <bottom style="thin">
        <color rgb="FFBCBCBC"/>
      </bottom>
      <diagonal/>
    </border>
    <border>
      <left/>
      <right/>
      <top style="thin">
        <color rgb="FFD3DBDB"/>
      </top>
      <bottom/>
      <diagonal/>
    </border>
    <border>
      <left style="thin">
        <color theme="0" tint="-0.35"/>
      </left>
      <right style="thin">
        <color theme="0" tint="-0.35"/>
      </right>
      <top style="thin">
        <color theme="0" tint="-0.35"/>
      </top>
      <bottom style="thin">
        <color theme="0" tint="-0.35"/>
      </bottom>
      <diagonal/>
    </border>
    <border>
      <left style="thin">
        <color theme="0" tint="-0.25"/>
      </left>
      <right style="thin">
        <color theme="0" tint="-0.25"/>
      </right>
      <top/>
      <bottom style="thin">
        <color theme="0" tint="-0.25"/>
      </bottom>
      <diagonal/>
    </border>
    <border>
      <left/>
      <right/>
      <top style="thin">
        <color rgb="FFD3DBDB"/>
      </top>
      <bottom style="thin">
        <color rgb="FFD3DBDB"/>
      </bottom>
      <diagonal/>
    </border>
    <border>
      <left style="thin">
        <color rgb="FFD3DBDB"/>
      </left>
      <right style="thin">
        <color rgb="FFD3DBDB"/>
      </right>
      <top style="thin">
        <color rgb="FFD3DBDB"/>
      </top>
      <bottom style="thin">
        <color rgb="FFD3DBDB"/>
      </bottom>
      <diagonal/>
    </border>
    <border>
      <left style="thin">
        <color theme="0" tint="-0.25"/>
      </left>
      <right/>
      <top/>
      <bottom style="thin">
        <color theme="0" tint="-0.25"/>
      </bottom>
      <diagonal/>
    </border>
    <border>
      <left style="thin">
        <color rgb="FFD3DBDB"/>
      </left>
      <right/>
      <top style="thin">
        <color rgb="FFD3DBDB"/>
      </top>
      <bottom style="thin">
        <color rgb="FFD3DBDB"/>
      </bottom>
      <diagonal/>
    </border>
    <border>
      <left/>
      <right/>
      <top/>
      <bottom style="thin">
        <color rgb="FFBCBCBC"/>
      </bottom>
      <diagonal/>
    </border>
    <border>
      <left style="thin">
        <color rgb="FFBCBCBC"/>
      </left>
      <right/>
      <top style="thin">
        <color rgb="FFBCBCBC"/>
      </top>
      <bottom style="thin">
        <color rgb="FFC0C0C0"/>
      </bottom>
      <diagonal/>
    </border>
    <border>
      <left style="thin">
        <color rgb="FFBCBCBC"/>
      </left>
      <right/>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theme="0" tint="-0.25"/>
      </left>
      <right style="thin">
        <color theme="0" tint="-0.25"/>
      </right>
      <top/>
      <bottom/>
      <diagonal/>
    </border>
    <border>
      <left style="thin">
        <color theme="0" tint="-0.25"/>
      </left>
      <right style="thin">
        <color theme="0" tint="-0.25"/>
      </right>
      <top style="thin">
        <color theme="0" tint="-0.25"/>
      </top>
      <bottom/>
      <diagonal/>
    </border>
    <border>
      <left style="thin">
        <color theme="0" tint="-0.25"/>
      </left>
      <right style="thin">
        <color rgb="FFC0C0C0"/>
      </right>
      <top style="thin">
        <color rgb="FFC0C0C0"/>
      </top>
      <bottom style="thin">
        <color rgb="FFC0C0C0"/>
      </bottom>
      <diagonal/>
    </border>
    <border>
      <left style="thin">
        <color theme="0" tint="-0.25"/>
      </left>
      <right/>
      <top style="thin">
        <color rgb="FFC0C0C0"/>
      </top>
      <bottom style="thin">
        <color rgb="FFC0C0C0"/>
      </bottom>
      <diagonal/>
    </border>
    <border>
      <left style="thin">
        <color theme="0" tint="-0.25"/>
      </left>
      <right style="thin">
        <color rgb="FFC0C0C0"/>
      </right>
      <top style="thin">
        <color rgb="FFC0C0C0"/>
      </top>
      <bottom/>
      <diagonal/>
    </border>
    <border>
      <left style="thin">
        <color theme="0" tint="-0.25"/>
      </left>
      <right/>
      <top style="thin">
        <color rgb="FFC0C0C0"/>
      </top>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hair">
        <color rgb="FFC0C0C0"/>
      </left>
      <right/>
      <top style="hair">
        <color rgb="FFC0C0C0"/>
      </top>
      <bottom style="hair">
        <color rgb="FFC0C0C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BCBCBC"/>
      </right>
      <top/>
      <bottom/>
      <diagonal/>
    </border>
    <border>
      <left style="thin">
        <color rgb="FFBCBCBC"/>
      </left>
      <right/>
      <top/>
      <bottom style="thin">
        <color rgb="FFBCBCBC"/>
      </bottom>
      <diagonal/>
    </border>
    <border>
      <left/>
      <right style="thin">
        <color rgb="FF999999"/>
      </right>
      <top style="thin">
        <color rgb="FF999999"/>
      </top>
      <bottom style="thin">
        <color rgb="FF999999"/>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5"/>
      </bottom>
      <diagonal/>
    </border>
    <border>
      <left/>
      <right/>
      <top/>
      <bottom style="medium">
        <color theme="4" tint="0.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49" fontId="0" fillId="0" borderId="0" applyFill="0" applyBorder="0">
      <alignment vertical="top"/>
    </xf>
    <xf numFmtId="176" fontId="101" fillId="0" borderId="0" applyFont="0" applyFill="0" applyBorder="0">
      <alignment vertical="top"/>
    </xf>
    <xf numFmtId="177" fontId="101" fillId="0" borderId="0" applyFont="0" applyFill="0" applyBorder="0">
      <alignment vertical="top"/>
    </xf>
    <xf numFmtId="9" fontId="101" fillId="0" borderId="0" applyFont="0" applyFill="0" applyBorder="0">
      <alignment vertical="top"/>
    </xf>
    <xf numFmtId="178" fontId="101" fillId="0" borderId="0" applyFont="0" applyFill="0" applyBorder="0">
      <alignment vertical="top"/>
    </xf>
    <xf numFmtId="179" fontId="101" fillId="0" borderId="0" applyFont="0" applyFill="0" applyBorder="0">
      <alignment vertical="top"/>
    </xf>
    <xf numFmtId="0" fontId="102" fillId="0" borderId="0" applyFill="0" applyBorder="0">
      <alignment vertical="top"/>
    </xf>
    <xf numFmtId="0" fontId="103" fillId="0" borderId="0" applyFill="0" applyBorder="0">
      <alignment vertical="top"/>
    </xf>
    <xf numFmtId="0" fontId="101" fillId="30" borderId="66" applyFont="0">
      <alignment vertical="top"/>
    </xf>
    <xf numFmtId="0" fontId="104" fillId="0" borderId="0" applyFill="0" applyBorder="0">
      <alignment vertical="top"/>
    </xf>
    <xf numFmtId="0" fontId="105" fillId="0" borderId="0" applyFill="0" applyBorder="0">
      <alignment vertical="top"/>
    </xf>
    <xf numFmtId="0" fontId="106" fillId="0" borderId="0" applyFill="0" applyBorder="0">
      <alignment vertical="top"/>
    </xf>
    <xf numFmtId="0" fontId="107" fillId="0" borderId="67" applyFill="0">
      <alignment vertical="top"/>
    </xf>
    <xf numFmtId="0" fontId="108" fillId="0" borderId="68" applyFill="0">
      <alignment vertical="top"/>
    </xf>
    <xf numFmtId="0" fontId="109" fillId="0" borderId="69" applyFill="0">
      <alignment vertical="top"/>
    </xf>
    <xf numFmtId="0" fontId="109" fillId="0" borderId="0" applyFill="0" applyBorder="0">
      <alignment vertical="top"/>
    </xf>
    <xf numFmtId="0" fontId="110" fillId="31" borderId="70">
      <alignment vertical="top"/>
    </xf>
    <xf numFmtId="0" fontId="111" fillId="32" borderId="71">
      <alignment vertical="top"/>
    </xf>
    <xf numFmtId="0" fontId="112" fillId="32" borderId="70">
      <alignment vertical="top"/>
    </xf>
    <xf numFmtId="0" fontId="113" fillId="33" borderId="72">
      <alignment vertical="top"/>
    </xf>
    <xf numFmtId="0" fontId="114" fillId="0" borderId="73" applyFill="0">
      <alignment vertical="top"/>
    </xf>
    <xf numFmtId="0" fontId="115" fillId="0" borderId="74" applyFill="0">
      <alignment vertical="top"/>
    </xf>
    <xf numFmtId="0" fontId="116" fillId="34" borderId="0" applyBorder="0">
      <alignment vertical="top"/>
    </xf>
    <xf numFmtId="0" fontId="117" fillId="35" borderId="0" applyBorder="0">
      <alignment vertical="top"/>
    </xf>
    <xf numFmtId="0" fontId="118" fillId="36" borderId="0" applyBorder="0">
      <alignment vertical="top"/>
    </xf>
    <xf numFmtId="0" fontId="119" fillId="37" borderId="0" applyBorder="0">
      <alignment vertical="top"/>
    </xf>
    <xf numFmtId="0" fontId="6" fillId="38" borderId="0" applyBorder="0">
      <alignment vertical="top"/>
    </xf>
    <xf numFmtId="0" fontId="6" fillId="39" borderId="0" applyBorder="0">
      <alignment vertical="top"/>
    </xf>
    <xf numFmtId="0" fontId="6" fillId="40" borderId="0" applyBorder="0">
      <alignment vertical="top"/>
    </xf>
    <xf numFmtId="0" fontId="119" fillId="41" borderId="0" applyBorder="0">
      <alignment vertical="top"/>
    </xf>
    <xf numFmtId="0" fontId="6" fillId="6" borderId="0" applyBorder="0">
      <alignment vertical="top"/>
    </xf>
    <xf numFmtId="0" fontId="6" fillId="42" borderId="0" applyBorder="0">
      <alignment vertical="top"/>
    </xf>
    <xf numFmtId="0" fontId="6" fillId="43" borderId="0" applyBorder="0">
      <alignment vertical="top"/>
    </xf>
    <xf numFmtId="0" fontId="119" fillId="44" borderId="0" applyBorder="0">
      <alignment vertical="top"/>
    </xf>
    <xf numFmtId="0" fontId="6" fillId="45" borderId="0" applyBorder="0">
      <alignment vertical="top"/>
    </xf>
    <xf numFmtId="0" fontId="6" fillId="46" borderId="0" applyBorder="0">
      <alignment vertical="top"/>
    </xf>
    <xf numFmtId="0" fontId="6" fillId="8" borderId="0" applyBorder="0">
      <alignment vertical="top"/>
    </xf>
    <xf numFmtId="0" fontId="119" fillId="47" borderId="0" applyBorder="0">
      <alignment vertical="top"/>
    </xf>
    <xf numFmtId="0" fontId="6" fillId="9" borderId="0" applyBorder="0">
      <alignment vertical="top"/>
    </xf>
    <xf numFmtId="0" fontId="6" fillId="48" borderId="0" applyBorder="0">
      <alignment vertical="top"/>
    </xf>
    <xf numFmtId="0" fontId="6" fillId="49" borderId="0" applyBorder="0">
      <alignment vertical="top"/>
    </xf>
    <xf numFmtId="0" fontId="119" fillId="50" borderId="0" applyBorder="0">
      <alignment vertical="top"/>
    </xf>
    <xf numFmtId="0" fontId="6" fillId="51" borderId="0" applyBorder="0">
      <alignment vertical="top"/>
    </xf>
    <xf numFmtId="0" fontId="6" fillId="52" borderId="0" applyBorder="0">
      <alignment vertical="top"/>
    </xf>
    <xf numFmtId="0" fontId="6" fillId="53" borderId="0" applyBorder="0">
      <alignment vertical="top"/>
    </xf>
    <xf numFmtId="0" fontId="119" fillId="54" borderId="0" applyBorder="0">
      <alignment vertical="top"/>
    </xf>
    <xf numFmtId="0" fontId="6" fillId="26" borderId="0" applyBorder="0">
      <alignment vertical="top"/>
    </xf>
    <xf numFmtId="0" fontId="6" fillId="55" borderId="0" applyBorder="0">
      <alignment vertical="top"/>
    </xf>
    <xf numFmtId="0" fontId="6" fillId="56" borderId="0" applyBorder="0">
      <alignment vertical="top"/>
    </xf>
    <xf numFmtId="0" fontId="120" fillId="0" borderId="0" applyFill="0" applyBorder="0">
      <alignment vertical="top"/>
    </xf>
    <xf numFmtId="0" fontId="121" fillId="0" borderId="0" applyFill="0" applyBorder="0"/>
    <xf numFmtId="180" fontId="121" fillId="0" borderId="0" applyFill="0" applyBorder="0"/>
    <xf numFmtId="0" fontId="121" fillId="0" borderId="0" applyFill="0" applyBorder="0"/>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1" fontId="122" fillId="0" borderId="0" applyFill="0" applyBorder="0">
      <alignment vertical="top"/>
    </xf>
    <xf numFmtId="182" fontId="4" fillId="57" borderId="0" applyBorder="0">
      <protection locked="0"/>
    </xf>
    <xf numFmtId="0" fontId="123" fillId="0" borderId="0" applyFill="0" applyBorder="0">
      <alignment vertical="center"/>
    </xf>
    <xf numFmtId="183" fontId="4" fillId="57" borderId="0" applyBorder="0">
      <protection locked="0"/>
    </xf>
    <xf numFmtId="184" fontId="4" fillId="57" borderId="0" applyBorder="0">
      <protection locked="0"/>
    </xf>
    <xf numFmtId="0" fontId="124" fillId="0" borderId="0" applyFill="0" applyBorder="0">
      <alignment vertical="top"/>
    </xf>
    <xf numFmtId="0" fontId="125" fillId="0" borderId="0" applyFill="0" applyBorder="0"/>
    <xf numFmtId="0" fontId="123" fillId="0" borderId="0" applyFill="0" applyBorder="0">
      <alignment vertical="center"/>
    </xf>
    <xf numFmtId="0" fontId="123" fillId="0" borderId="0" applyFill="0" applyBorder="0">
      <alignment vertical="center"/>
    </xf>
    <xf numFmtId="49" fontId="4" fillId="0" borderId="0" applyFill="0" applyBorder="0">
      <alignment vertical="top"/>
    </xf>
    <xf numFmtId="0" fontId="126" fillId="0" borderId="0" applyFill="0" applyBorder="0"/>
    <xf numFmtId="49" fontId="0" fillId="0" borderId="0" applyFill="0" applyBorder="0">
      <alignment vertical="top"/>
    </xf>
    <xf numFmtId="0" fontId="5" fillId="0" borderId="0" applyFill="0" applyBorder="0"/>
    <xf numFmtId="0" fontId="5" fillId="0" borderId="0" applyFill="0" applyBorder="0"/>
  </cellStyleXfs>
  <cellXfs count="1405">
    <xf numFmtId="49" fontId="0" fillId="0" borderId="0" xfId="0" applyNumberFormat="1" applyFont="1">
      <alignment vertical="top"/>
    </xf>
    <xf numFmtId="49" fontId="1" fillId="0" borderId="1" xfId="0" applyNumberFormat="1" applyFont="1" applyBorder="1" applyAlignment="1">
      <alignment vertical="top" wrapText="1"/>
    </xf>
    <xf numFmtId="0" fontId="0" fillId="0" borderId="1" xfId="0" applyNumberFormat="1" applyFont="1" applyBorder="1" applyAlignment="1">
      <alignment vertical="top" wrapText="1"/>
    </xf>
    <xf numFmtId="0" fontId="2" fillId="0" borderId="2" xfId="0" applyNumberFormat="1" applyFont="1" applyBorder="1" applyAlignment="1">
      <alignment vertical="top" wrapText="1"/>
    </xf>
    <xf numFmtId="0" fontId="0" fillId="0" borderId="0" xfId="0" applyNumberFormat="1" applyFont="1">
      <alignment vertical="top"/>
    </xf>
    <xf numFmtId="0" fontId="0" fillId="0" borderId="3" xfId="0" applyNumberFormat="1" applyFont="1" applyBorder="1" applyAlignment="1">
      <alignment vertical="top" wrapText="1"/>
    </xf>
    <xf numFmtId="49" fontId="0" fillId="0" borderId="3" xfId="0" applyNumberFormat="1" applyFont="1" applyBorder="1" applyAlignment="1">
      <alignment vertical="top" wrapText="1"/>
    </xf>
    <xf numFmtId="49" fontId="0" fillId="0" borderId="4" xfId="0" applyNumberFormat="1" applyFont="1" applyBorder="1">
      <alignment vertical="top"/>
    </xf>
    <xf numFmtId="0" fontId="3" fillId="0" borderId="1" xfId="0" applyNumberFormat="1" applyFont="1" applyBorder="1" applyAlignment="1">
      <alignment vertical="center" wrapText="1"/>
    </xf>
    <xf numFmtId="0" fontId="2" fillId="0" borderId="0" xfId="0" applyNumberFormat="1" applyFont="1" applyAlignment="1">
      <alignment vertical="top" wrapText="1"/>
    </xf>
    <xf numFmtId="0" fontId="4" fillId="0" borderId="1" xfId="0" applyNumberFormat="1" applyFont="1" applyBorder="1" applyAlignment="1">
      <alignment vertical="center" wrapText="1"/>
    </xf>
    <xf numFmtId="49" fontId="4" fillId="2" borderId="5" xfId="0" applyNumberFormat="1" applyFont="1" applyFill="1" applyBorder="1" applyAlignment="1">
      <alignment horizontal="center" vertical="top"/>
    </xf>
    <xf numFmtId="49" fontId="0" fillId="0" borderId="0" xfId="75" applyNumberFormat="1" applyFont="1">
      <alignment vertical="top"/>
    </xf>
    <xf numFmtId="0" fontId="5" fillId="0" borderId="0" xfId="0" applyNumberFormat="1" applyFont="1" applyAlignment="1"/>
    <xf numFmtId="0" fontId="6" fillId="0" borderId="0" xfId="0" applyNumberFormat="1" applyFont="1" applyAlignment="1"/>
    <xf numFmtId="0" fontId="0" fillId="0" borderId="0" xfId="0" applyNumberFormat="1" applyFont="1" applyAlignment="1"/>
    <xf numFmtId="49" fontId="0" fillId="3" borderId="0" xfId="0" applyNumberFormat="1" applyFont="1" applyFill="1">
      <alignment vertical="top"/>
    </xf>
    <xf numFmtId="49" fontId="0" fillId="0" borderId="3" xfId="75" applyNumberFormat="1" applyFont="1" applyBorder="1">
      <alignment vertical="top"/>
    </xf>
    <xf numFmtId="49" fontId="0" fillId="0" borderId="6" xfId="75" applyNumberFormat="1" applyFont="1" applyBorder="1">
      <alignment vertical="top"/>
    </xf>
    <xf numFmtId="49" fontId="0" fillId="0" borderId="3" xfId="75" applyNumberFormat="1" applyFont="1" applyBorder="1" applyAlignment="1">
      <alignment horizontal="center" vertical="top"/>
    </xf>
    <xf numFmtId="49" fontId="0" fillId="0" borderId="6" xfId="75" applyNumberFormat="1" applyFont="1" applyBorder="1" applyAlignment="1">
      <alignment horizontal="center" vertical="top"/>
    </xf>
    <xf numFmtId="49" fontId="0" fillId="0" borderId="3" xfId="0" applyNumberFormat="1" applyFont="1" applyBorder="1">
      <alignment vertical="top"/>
    </xf>
    <xf numFmtId="49" fontId="0" fillId="4" borderId="4" xfId="75" applyNumberFormat="1" applyFont="1" applyFill="1" applyBorder="1">
      <alignment vertical="top"/>
    </xf>
    <xf numFmtId="49" fontId="0" fillId="0" borderId="6" xfId="0" applyNumberFormat="1" applyFont="1" applyBorder="1" applyAlignment="1">
      <alignment horizontal="center" vertical="top"/>
    </xf>
    <xf numFmtId="49" fontId="0" fillId="0" borderId="6" xfId="0" applyNumberFormat="1" applyFont="1" applyBorder="1">
      <alignment vertical="top"/>
    </xf>
    <xf numFmtId="49" fontId="0" fillId="5" borderId="3" xfId="75" applyNumberFormat="1" applyFont="1" applyFill="1" applyBorder="1">
      <alignment vertical="top"/>
    </xf>
    <xf numFmtId="49" fontId="0" fillId="0" borderId="7" xfId="75" applyNumberFormat="1" applyFont="1" applyBorder="1" applyAlignment="1">
      <alignment horizontal="center" vertical="top"/>
    </xf>
    <xf numFmtId="49" fontId="0" fillId="6" borderId="3" xfId="75" applyNumberFormat="1" applyFont="1" applyFill="1" applyBorder="1">
      <alignment vertical="top"/>
    </xf>
    <xf numFmtId="49" fontId="0" fillId="0" borderId="7" xfId="0" applyNumberFormat="1" applyFont="1" applyBorder="1" applyAlignment="1">
      <alignment horizontal="center" vertical="top"/>
    </xf>
    <xf numFmtId="49" fontId="0" fillId="7" borderId="3" xfId="75" applyNumberFormat="1" applyFont="1" applyFill="1" applyBorder="1">
      <alignment vertical="top"/>
    </xf>
    <xf numFmtId="49" fontId="0" fillId="8" borderId="4" xfId="75" applyNumberFormat="1" applyFont="1" applyFill="1" applyBorder="1">
      <alignment vertical="top"/>
    </xf>
    <xf numFmtId="49" fontId="0" fillId="9" borderId="6" xfId="75" applyNumberFormat="1" applyFont="1" applyFill="1" applyBorder="1">
      <alignment vertical="top"/>
    </xf>
    <xf numFmtId="49" fontId="0" fillId="9" borderId="3" xfId="75" applyNumberFormat="1" applyFont="1" applyFill="1" applyBorder="1">
      <alignment vertical="top"/>
    </xf>
    <xf numFmtId="49" fontId="0" fillId="8" borderId="3" xfId="75" applyNumberFormat="1" applyFont="1" applyFill="1" applyBorder="1">
      <alignment vertical="top"/>
    </xf>
    <xf numFmtId="49" fontId="0" fillId="8" borderId="4" xfId="0" applyNumberFormat="1" applyFont="1" applyFill="1" applyBorder="1">
      <alignment vertical="top"/>
    </xf>
    <xf numFmtId="0" fontId="0" fillId="0" borderId="0" xfId="0" applyNumberFormat="1" applyFont="1" applyAlignment="1">
      <alignment vertical="center"/>
    </xf>
    <xf numFmtId="0" fontId="7" fillId="0" borderId="0" xfId="0" applyNumberFormat="1" applyFont="1" applyAlignment="1">
      <alignment vertical="center" wrapText="1"/>
    </xf>
    <xf numFmtId="0" fontId="8" fillId="0" borderId="0" xfId="0" applyNumberFormat="1" applyFont="1" applyAlignment="1">
      <alignment vertical="center" wrapText="1"/>
    </xf>
    <xf numFmtId="49" fontId="8" fillId="0" borderId="0" xfId="0" applyNumberFormat="1" applyFont="1" applyAlignment="1">
      <alignment vertical="center" wrapText="1"/>
    </xf>
    <xf numFmtId="49" fontId="4" fillId="0" borderId="0" xfId="0" applyNumberFormat="1" applyFont="1" applyAlignment="1">
      <alignment vertical="center" wrapText="1"/>
    </xf>
    <xf numFmtId="0" fontId="9" fillId="0" borderId="0" xfId="0" applyNumberFormat="1" applyFont="1" applyAlignment="1">
      <alignment vertical="center" wrapText="1"/>
    </xf>
    <xf numFmtId="0" fontId="4" fillId="0" borderId="0" xfId="0" applyNumberFormat="1" applyFont="1" applyAlignment="1">
      <alignment horizontal="left" vertical="center" wrapText="1"/>
    </xf>
    <xf numFmtId="0" fontId="4" fillId="0" borderId="0" xfId="0" applyNumberFormat="1" applyFont="1" applyAlignment="1">
      <alignment vertical="center" wrapText="1"/>
    </xf>
    <xf numFmtId="0" fontId="10" fillId="0" borderId="0" xfId="0" applyNumberFormat="1" applyFont="1" applyAlignment="1">
      <alignment vertical="center" wrapText="1"/>
    </xf>
    <xf numFmtId="0" fontId="8" fillId="0" borderId="0" xfId="0" applyNumberFormat="1" applyFont="1" applyAlignment="1">
      <alignment vertical="center"/>
    </xf>
    <xf numFmtId="0" fontId="8" fillId="0" borderId="0" xfId="0" applyNumberFormat="1" applyFont="1" applyAlignment="1">
      <alignment horizontal="left" vertical="center" indent="1"/>
    </xf>
    <xf numFmtId="0" fontId="8" fillId="0" borderId="0" xfId="0" applyNumberFormat="1" applyFont="1" applyAlignment="1">
      <alignment horizontal="left" vertical="center" wrapText="1"/>
    </xf>
    <xf numFmtId="0" fontId="8" fillId="0" borderId="0" xfId="0" applyNumberFormat="1" applyFont="1" applyAlignment="1">
      <alignment horizontal="center"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top"/>
    </xf>
    <xf numFmtId="0" fontId="9" fillId="3" borderId="0" xfId="0" applyNumberFormat="1" applyFont="1" applyFill="1" applyAlignment="1">
      <alignment vertical="center" wrapText="1"/>
    </xf>
    <xf numFmtId="0" fontId="4" fillId="3" borderId="0" xfId="0" applyNumberFormat="1" applyFont="1" applyFill="1" applyAlignment="1">
      <alignment horizontal="left" vertical="center" wrapText="1"/>
    </xf>
    <xf numFmtId="0" fontId="4" fillId="3" borderId="0" xfId="0" applyNumberFormat="1" applyFont="1" applyFill="1" applyAlignment="1">
      <alignment vertical="center" wrapText="1"/>
    </xf>
    <xf numFmtId="0" fontId="2" fillId="0" borderId="8" xfId="0" applyNumberFormat="1" applyFont="1" applyBorder="1" applyAlignment="1">
      <alignment horizontal="left" vertical="center" wrapText="1" indent="1"/>
    </xf>
    <xf numFmtId="0" fontId="2" fillId="0" borderId="9" xfId="0" applyNumberFormat="1" applyFont="1" applyBorder="1" applyAlignment="1">
      <alignment horizontal="left" vertical="center" wrapText="1" indent="1"/>
    </xf>
    <xf numFmtId="0" fontId="3" fillId="3" borderId="0" xfId="0" applyNumberFormat="1" applyFont="1" applyFill="1" applyAlignment="1">
      <alignment horizontal="center" vertical="center" wrapText="1"/>
    </xf>
    <xf numFmtId="0" fontId="0" fillId="0" borderId="0" xfId="0" applyNumberFormat="1" applyFont="1" applyAlignment="1">
      <alignment horizontal="left" vertical="center"/>
    </xf>
    <xf numFmtId="0" fontId="0" fillId="3" borderId="3" xfId="0" applyNumberFormat="1" applyFont="1" applyFill="1" applyBorder="1" applyAlignment="1">
      <alignment horizontal="right" vertical="center" wrapText="1" indent="1"/>
    </xf>
    <xf numFmtId="0" fontId="0" fillId="0" borderId="6" xfId="0" applyNumberFormat="1" applyFont="1" applyBorder="1" applyAlignment="1">
      <alignment vertical="center"/>
    </xf>
    <xf numFmtId="0" fontId="4" fillId="2" borderId="3" xfId="0" applyNumberFormat="1" applyFont="1" applyFill="1" applyBorder="1" applyAlignment="1">
      <alignment horizontal="left" vertical="center" wrapText="1" indent="1"/>
    </xf>
    <xf numFmtId="0" fontId="4" fillId="0" borderId="0" xfId="0" applyNumberFormat="1" applyFont="1" applyAlignment="1">
      <alignment horizontal="right" vertical="center" wrapText="1"/>
    </xf>
    <xf numFmtId="0" fontId="4" fillId="3" borderId="9" xfId="0" applyNumberFormat="1" applyFont="1" applyFill="1" applyBorder="1" applyAlignment="1">
      <alignment vertical="center" wrapText="1"/>
    </xf>
    <xf numFmtId="0" fontId="11" fillId="0" borderId="9" xfId="0" applyNumberFormat="1" applyFont="1" applyBorder="1" applyAlignment="1">
      <alignment horizontal="center" vertical="center" wrapText="1"/>
    </xf>
    <xf numFmtId="0" fontId="4" fillId="0" borderId="3" xfId="0" applyNumberFormat="1" applyFont="1" applyBorder="1" applyAlignment="1">
      <alignment horizontal="center" vertical="center" wrapText="1"/>
    </xf>
    <xf numFmtId="0" fontId="4" fillId="3" borderId="3" xfId="0" applyNumberFormat="1" applyFont="1" applyFill="1" applyBorder="1" applyAlignment="1">
      <alignment horizontal="left" vertical="center" wrapText="1"/>
    </xf>
    <xf numFmtId="0" fontId="4" fillId="3" borderId="3" xfId="0" applyNumberFormat="1" applyFont="1" applyFill="1" applyBorder="1" applyAlignment="1">
      <alignment horizontal="center" vertical="center" wrapText="1"/>
    </xf>
    <xf numFmtId="0" fontId="4" fillId="0" borderId="4" xfId="0" applyNumberFormat="1" applyFont="1" applyBorder="1" applyAlignment="1">
      <alignment vertical="center" wrapText="1"/>
    </xf>
    <xf numFmtId="0" fontId="0" fillId="3" borderId="6" xfId="0" applyNumberFormat="1" applyFont="1" applyFill="1" applyBorder="1" applyAlignment="1">
      <alignment horizontal="center" vertical="center" wrapText="1"/>
    </xf>
    <xf numFmtId="0" fontId="0" fillId="3" borderId="7" xfId="0" applyNumberFormat="1" applyFont="1" applyFill="1" applyBorder="1" applyAlignment="1">
      <alignment horizontal="center" vertical="center" wrapText="1"/>
    </xf>
    <xf numFmtId="0" fontId="4" fillId="0" borderId="10" xfId="0" applyNumberFormat="1" applyFont="1" applyBorder="1" applyAlignment="1">
      <alignment vertical="center" wrapText="1"/>
    </xf>
    <xf numFmtId="0" fontId="4" fillId="0" borderId="4" xfId="0" applyNumberFormat="1" applyFont="1" applyBorder="1" applyAlignment="1">
      <alignment horizontal="center" vertical="center" wrapText="1"/>
    </xf>
    <xf numFmtId="0" fontId="4" fillId="0" borderId="11" xfId="0" applyNumberFormat="1" applyFont="1" applyBorder="1" applyAlignment="1">
      <alignment vertical="center" wrapText="1"/>
    </xf>
    <xf numFmtId="0" fontId="4" fillId="0" borderId="11" xfId="0" applyNumberFormat="1" applyFont="1" applyBorder="1" applyAlignment="1">
      <alignment horizontal="center" vertical="center" wrapText="1"/>
    </xf>
    <xf numFmtId="49" fontId="7" fillId="0" borderId="0" xfId="0" applyNumberFormat="1" applyFont="1" applyAlignment="1">
      <alignment vertical="center" wrapText="1"/>
    </xf>
    <xf numFmtId="0" fontId="12" fillId="3" borderId="0" xfId="0" applyNumberFormat="1" applyFont="1" applyFill="1" applyAlignment="1">
      <alignment vertical="center" wrapText="1"/>
    </xf>
    <xf numFmtId="0" fontId="13" fillId="3" borderId="0" xfId="0" applyNumberFormat="1" applyFont="1" applyFill="1" applyAlignment="1">
      <alignment vertical="center" wrapText="1"/>
    </xf>
    <xf numFmtId="49" fontId="14" fillId="3" borderId="8" xfId="0" applyNumberFormat="1" applyFont="1" applyFill="1" applyBorder="1" applyAlignment="1">
      <alignment horizontal="left" vertical="center" wrapText="1"/>
    </xf>
    <xf numFmtId="49" fontId="14" fillId="3" borderId="8" xfId="0" applyNumberFormat="1" applyFont="1" applyFill="1" applyBorder="1" applyAlignment="1">
      <alignment horizontal="center" vertical="center" wrapText="1"/>
    </xf>
    <xf numFmtId="0" fontId="10" fillId="3" borderId="8" xfId="0" applyNumberFormat="1" applyFont="1" applyFill="1" applyBorder="1" applyAlignment="1">
      <alignment horizontal="center" vertical="center" wrapText="1"/>
    </xf>
    <xf numFmtId="0" fontId="14" fillId="3" borderId="8" xfId="0" applyNumberFormat="1" applyFont="1" applyFill="1" applyBorder="1" applyAlignment="1">
      <alignment horizontal="center" vertical="center" wrapText="1"/>
    </xf>
    <xf numFmtId="49" fontId="4" fillId="0" borderId="0" xfId="0" applyNumberFormat="1" applyFont="1">
      <alignment vertical="top"/>
    </xf>
    <xf numFmtId="49" fontId="4" fillId="0" borderId="12" xfId="0" applyNumberFormat="1" applyFont="1" applyBorder="1">
      <alignment vertical="top"/>
    </xf>
    <xf numFmtId="0" fontId="4" fillId="0" borderId="3" xfId="0" applyNumberFormat="1" applyFont="1" applyBorder="1" applyAlignment="1">
      <alignment vertical="center" wrapText="1"/>
    </xf>
    <xf numFmtId="0" fontId="4" fillId="0" borderId="3" xfId="0" applyNumberFormat="1" applyFont="1" applyBorder="1" applyAlignment="1">
      <alignment horizontal="left" vertical="center" wrapText="1" indent="6"/>
    </xf>
    <xf numFmtId="185" fontId="4" fillId="2" borderId="3" xfId="0" applyNumberFormat="1" applyFont="1" applyFill="1" applyBorder="1" applyAlignment="1">
      <alignment horizontal="left" vertical="center" wrapText="1"/>
    </xf>
    <xf numFmtId="0" fontId="4" fillId="0" borderId="0" xfId="0" applyNumberFormat="1" applyFont="1" applyAlignment="1">
      <alignment horizontal="center" vertical="center" wrapText="1"/>
    </xf>
    <xf numFmtId="0" fontId="15" fillId="3" borderId="0" xfId="0" applyNumberFormat="1" applyFont="1" applyFill="1" applyAlignment="1">
      <alignment horizontal="center" vertical="center" wrapText="1"/>
    </xf>
    <xf numFmtId="0" fontId="4" fillId="0" borderId="12" xfId="0" applyNumberFormat="1" applyFont="1" applyBorder="1" applyAlignment="1">
      <alignment vertical="center" wrapText="1"/>
    </xf>
    <xf numFmtId="0" fontId="4" fillId="3" borderId="3" xfId="0" applyNumberFormat="1" applyFont="1" applyFill="1" applyBorder="1" applyAlignment="1">
      <alignment horizontal="left" vertical="center" wrapText="1" indent="1"/>
    </xf>
    <xf numFmtId="0" fontId="11" fillId="0" borderId="0" xfId="0" applyNumberFormat="1" applyFont="1" applyAlignment="1">
      <alignment vertical="center" wrapText="1"/>
    </xf>
    <xf numFmtId="0" fontId="4" fillId="3" borderId="3" xfId="0" applyNumberFormat="1" applyFont="1" applyFill="1" applyBorder="1" applyAlignment="1">
      <alignment horizontal="left" vertical="center" wrapText="1" indent="2"/>
    </xf>
    <xf numFmtId="0" fontId="4" fillId="3" borderId="3" xfId="0" applyNumberFormat="1" applyFont="1" applyFill="1" applyBorder="1" applyAlignment="1">
      <alignment horizontal="left" vertical="center" wrapText="1" indent="3"/>
    </xf>
    <xf numFmtId="0" fontId="10" fillId="0" borderId="0" xfId="0" applyNumberFormat="1" applyFont="1" applyAlignment="1">
      <alignment horizontal="center" vertical="center" wrapText="1"/>
    </xf>
    <xf numFmtId="0" fontId="10" fillId="0" borderId="12" xfId="0" applyNumberFormat="1" applyFont="1" applyBorder="1" applyAlignment="1">
      <alignment horizontal="center" vertical="center" wrapText="1"/>
    </xf>
    <xf numFmtId="0" fontId="4" fillId="3" borderId="3" xfId="0" applyNumberFormat="1" applyFont="1" applyFill="1" applyBorder="1" applyAlignment="1">
      <alignment horizontal="left" vertical="center" wrapText="1" indent="4"/>
    </xf>
    <xf numFmtId="0" fontId="4" fillId="10" borderId="3" xfId="0" applyNumberFormat="1" applyFont="1" applyFill="1" applyBorder="1" applyAlignment="1">
      <alignment horizontal="left" vertical="center" wrapText="1"/>
    </xf>
    <xf numFmtId="0" fontId="10" fillId="0" borderId="12" xfId="0" applyNumberFormat="1" applyFont="1" applyBorder="1" applyAlignment="1">
      <alignment vertical="center" wrapText="1"/>
    </xf>
    <xf numFmtId="0" fontId="4" fillId="3" borderId="3" xfId="0" applyNumberFormat="1" applyFont="1" applyFill="1" applyBorder="1" applyAlignment="1">
      <alignment horizontal="left" vertical="center" wrapText="1" indent="5"/>
    </xf>
    <xf numFmtId="0" fontId="4" fillId="10" borderId="6" xfId="0" applyNumberFormat="1" applyFont="1" applyFill="1" applyBorder="1" applyAlignment="1">
      <alignment horizontal="left" vertical="center" wrapText="1"/>
    </xf>
    <xf numFmtId="0" fontId="4" fillId="10" borderId="7" xfId="0" applyNumberFormat="1" applyFont="1" applyFill="1" applyBorder="1" applyAlignment="1">
      <alignment horizontal="left" vertical="center" wrapText="1"/>
    </xf>
    <xf numFmtId="0" fontId="4" fillId="10" borderId="3" xfId="0" applyNumberFormat="1" applyFont="1" applyFill="1" applyBorder="1" applyAlignment="1">
      <alignment horizontal="left" vertical="center" wrapText="1" indent="6"/>
    </xf>
    <xf numFmtId="185" fontId="4" fillId="11" borderId="3" xfId="0" applyNumberFormat="1" applyFont="1" applyFill="1" applyBorder="1" applyAlignment="1" applyProtection="1">
      <alignment horizontal="right" vertical="center" wrapText="1"/>
      <protection locked="0"/>
    </xf>
    <xf numFmtId="185" fontId="4" fillId="0" borderId="3" xfId="0" applyNumberFormat="1" applyFont="1" applyBorder="1" applyAlignment="1">
      <alignment horizontal="right" vertical="center" wrapText="1"/>
    </xf>
    <xf numFmtId="49" fontId="4" fillId="0" borderId="3" xfId="0" applyNumberFormat="1" applyFont="1" applyBorder="1" applyAlignment="1">
      <alignment horizontal="left" vertical="center" wrapText="1"/>
    </xf>
    <xf numFmtId="49" fontId="16" fillId="12" borderId="6" xfId="0" applyNumberFormat="1" applyFont="1" applyFill="1" applyBorder="1" applyAlignment="1">
      <alignment horizontal="left" vertical="center"/>
    </xf>
    <xf numFmtId="49" fontId="17" fillId="12" borderId="7" xfId="0" applyNumberFormat="1" applyFont="1" applyFill="1" applyBorder="1" applyAlignment="1">
      <alignment horizontal="left" vertical="center" indent="6"/>
    </xf>
    <xf numFmtId="49" fontId="4" fillId="12" borderId="7" xfId="0" applyNumberFormat="1" applyFont="1" applyFill="1" applyBorder="1" applyAlignment="1">
      <alignment horizontal="center" vertical="center" wrapText="1"/>
    </xf>
    <xf numFmtId="49" fontId="17" fillId="12" borderId="7" xfId="0" applyNumberFormat="1" applyFont="1" applyFill="1" applyBorder="1" applyAlignment="1">
      <alignment horizontal="left" vertical="center" indent="5"/>
    </xf>
    <xf numFmtId="49" fontId="9" fillId="0" borderId="0" xfId="0" applyNumberFormat="1" applyFont="1">
      <alignment vertical="top"/>
    </xf>
    <xf numFmtId="49" fontId="17" fillId="12" borderId="7" xfId="0" applyNumberFormat="1" applyFont="1" applyFill="1" applyBorder="1" applyAlignment="1">
      <alignment horizontal="left" vertical="center" indent="4"/>
    </xf>
    <xf numFmtId="49" fontId="18" fillId="12" borderId="6" xfId="0" applyNumberFormat="1" applyFont="1" applyFill="1" applyBorder="1" applyAlignment="1">
      <alignment horizontal="left" vertical="center"/>
    </xf>
    <xf numFmtId="49" fontId="19" fillId="12" borderId="7" xfId="0" applyNumberFormat="1" applyFont="1" applyFill="1" applyBorder="1" applyAlignment="1">
      <alignment horizontal="left" vertical="center" indent="3"/>
    </xf>
    <xf numFmtId="49" fontId="7" fillId="12" borderId="7" xfId="0" applyNumberFormat="1" applyFont="1" applyFill="1" applyBorder="1" applyAlignment="1">
      <alignment horizontal="center" vertical="center" wrapText="1"/>
    </xf>
    <xf numFmtId="49" fontId="20" fillId="0" borderId="0" xfId="0" applyNumberFormat="1" applyFont="1">
      <alignment vertical="top"/>
    </xf>
    <xf numFmtId="49" fontId="0" fillId="0" borderId="12" xfId="0" applyNumberFormat="1" applyFont="1" applyBorder="1">
      <alignment vertical="top"/>
    </xf>
    <xf numFmtId="49" fontId="19" fillId="12" borderId="7" xfId="0" applyNumberFormat="1" applyFont="1" applyFill="1" applyBorder="1" applyAlignment="1">
      <alignment horizontal="left" vertical="center" indent="2"/>
    </xf>
    <xf numFmtId="49" fontId="19" fillId="12" borderId="7" xfId="0" applyNumberFormat="1" applyFont="1" applyFill="1" applyBorder="1" applyAlignment="1">
      <alignment horizontal="left" vertical="center" indent="1"/>
    </xf>
    <xf numFmtId="49" fontId="21" fillId="12" borderId="6" xfId="0" applyNumberFormat="1" applyFont="1" applyFill="1" applyBorder="1" applyAlignment="1">
      <alignment horizontal="left" vertical="top"/>
    </xf>
    <xf numFmtId="49" fontId="19" fillId="12" borderId="7" xfId="0" applyNumberFormat="1" applyFont="1" applyFill="1" applyBorder="1" applyAlignment="1">
      <alignment horizontal="left" vertical="center"/>
    </xf>
    <xf numFmtId="0" fontId="4" fillId="0" borderId="0" xfId="0" applyNumberFormat="1" applyFont="1" applyAlignment="1">
      <alignment horizontal="left" vertical="top" wrapText="1"/>
    </xf>
    <xf numFmtId="0" fontId="2" fillId="0" borderId="0" xfId="0" applyNumberFormat="1" applyFont="1" applyAlignment="1">
      <alignment vertical="center" wrapText="1"/>
    </xf>
    <xf numFmtId="0" fontId="22" fillId="0" borderId="0" xfId="0" applyNumberFormat="1" applyFont="1" applyAlignment="1">
      <alignment vertical="center"/>
    </xf>
    <xf numFmtId="0" fontId="0" fillId="3" borderId="13"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wrapText="1"/>
    </xf>
    <xf numFmtId="49" fontId="17" fillId="12" borderId="4" xfId="0" applyNumberFormat="1" applyFont="1" applyFill="1" applyBorder="1" applyAlignment="1">
      <alignment horizontal="center" vertical="center" textRotation="90" wrapText="1"/>
    </xf>
    <xf numFmtId="0" fontId="4" fillId="0" borderId="6" xfId="0" applyNumberFormat="1" applyFont="1" applyBorder="1" applyAlignment="1">
      <alignment horizontal="center" vertical="center" wrapText="1"/>
    </xf>
    <xf numFmtId="0" fontId="4" fillId="0" borderId="13" xfId="0" applyNumberFormat="1" applyFont="1" applyBorder="1" applyAlignment="1">
      <alignment horizontal="center" vertical="center" wrapText="1"/>
    </xf>
    <xf numFmtId="0" fontId="4" fillId="0" borderId="7" xfId="0" applyNumberFormat="1" applyFont="1" applyBorder="1" applyAlignment="1">
      <alignment horizontal="center" vertical="center" wrapText="1"/>
    </xf>
    <xf numFmtId="0" fontId="4" fillId="3" borderId="10" xfId="0" applyNumberFormat="1" applyFont="1" applyFill="1" applyBorder="1" applyAlignment="1">
      <alignment horizontal="center" vertical="center" wrapText="1"/>
    </xf>
    <xf numFmtId="49" fontId="17" fillId="12" borderId="10" xfId="0" applyNumberFormat="1" applyFont="1" applyFill="1" applyBorder="1" applyAlignment="1">
      <alignment horizontal="center" vertical="center" textRotation="90" wrapText="1"/>
    </xf>
    <xf numFmtId="0" fontId="0" fillId="0" borderId="3"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13" xfId="0" applyNumberFormat="1" applyFont="1" applyBorder="1" applyAlignment="1">
      <alignment horizontal="center" vertical="center" wrapText="1"/>
    </xf>
    <xf numFmtId="0" fontId="4" fillId="3" borderId="11" xfId="0" applyNumberFormat="1" applyFont="1" applyFill="1" applyBorder="1" applyAlignment="1">
      <alignment horizontal="center" vertical="center" wrapText="1"/>
    </xf>
    <xf numFmtId="49" fontId="17" fillId="12" borderId="11" xfId="0" applyNumberFormat="1" applyFont="1" applyFill="1" applyBorder="1" applyAlignment="1">
      <alignment horizontal="center" vertical="center" textRotation="90" wrapText="1"/>
    </xf>
    <xf numFmtId="0" fontId="23" fillId="0" borderId="3" xfId="0" applyNumberFormat="1" applyFont="1" applyBorder="1" applyAlignment="1">
      <alignment vertical="top" wrapText="1"/>
    </xf>
    <xf numFmtId="0" fontId="4" fillId="10" borderId="13" xfId="0" applyNumberFormat="1" applyFont="1" applyFill="1" applyBorder="1" applyAlignment="1">
      <alignment horizontal="left" vertical="center" wrapText="1"/>
    </xf>
    <xf numFmtId="183" fontId="4" fillId="11" borderId="3" xfId="0" applyNumberFormat="1" applyFont="1" applyFill="1" applyBorder="1" applyAlignment="1" applyProtection="1">
      <alignment horizontal="right" vertical="center" wrapText="1"/>
      <protection locked="0"/>
    </xf>
    <xf numFmtId="186" fontId="0" fillId="13" borderId="3" xfId="0" applyNumberFormat="1" applyFont="1" applyFill="1" applyBorder="1" applyAlignment="1" applyProtection="1">
      <alignment horizontal="center" vertical="center" wrapText="1"/>
      <protection locked="0"/>
    </xf>
    <xf numFmtId="49" fontId="4" fillId="10" borderId="3" xfId="0" applyNumberFormat="1" applyFont="1" applyFill="1" applyBorder="1" applyAlignment="1">
      <alignment horizontal="center" vertical="center" wrapText="1"/>
    </xf>
    <xf numFmtId="0" fontId="23" fillId="0" borderId="4" xfId="0" applyNumberFormat="1" applyFont="1" applyBorder="1" applyAlignment="1">
      <alignment horizontal="left" vertical="top" wrapText="1"/>
    </xf>
    <xf numFmtId="185" fontId="10" fillId="0" borderId="3" xfId="0" applyNumberFormat="1" applyFont="1" applyBorder="1" applyAlignment="1">
      <alignment horizontal="center" vertical="center" wrapText="1"/>
    </xf>
    <xf numFmtId="49" fontId="0" fillId="13" borderId="3" xfId="0" applyNumberFormat="1" applyFont="1" applyFill="1" applyBorder="1" applyAlignment="1" applyProtection="1">
      <alignment horizontal="center" vertical="center" wrapText="1"/>
      <protection locked="0"/>
    </xf>
    <xf numFmtId="0" fontId="23" fillId="0" borderId="10" xfId="0" applyNumberFormat="1" applyFont="1" applyBorder="1" applyAlignment="1">
      <alignment horizontal="left" vertical="top" wrapText="1"/>
    </xf>
    <xf numFmtId="49" fontId="4" fillId="12" borderId="13" xfId="0" applyNumberFormat="1" applyFont="1" applyFill="1" applyBorder="1" applyAlignment="1">
      <alignment horizontal="center" vertical="center" wrapText="1"/>
    </xf>
    <xf numFmtId="0" fontId="23" fillId="0" borderId="11" xfId="0" applyNumberFormat="1" applyFont="1" applyBorder="1" applyAlignment="1">
      <alignment horizontal="left" vertical="top" wrapText="1"/>
    </xf>
    <xf numFmtId="49" fontId="0" fillId="12" borderId="7" xfId="0" applyNumberFormat="1" applyFont="1" applyFill="1" applyBorder="1" applyAlignment="1">
      <alignment horizontal="center" vertical="center" wrapText="1"/>
    </xf>
    <xf numFmtId="49" fontId="0" fillId="12" borderId="13" xfId="0" applyNumberFormat="1" applyFont="1" applyFill="1" applyBorder="1" applyAlignment="1">
      <alignment horizontal="center" vertical="center" wrapText="1"/>
    </xf>
    <xf numFmtId="49" fontId="21" fillId="12" borderId="7" xfId="0" applyNumberFormat="1" applyFont="1" applyFill="1" applyBorder="1" applyAlignment="1">
      <alignment horizontal="center" vertical="center" wrapText="1"/>
    </xf>
    <xf numFmtId="49" fontId="21" fillId="12" borderId="13" xfId="0" applyNumberFormat="1" applyFont="1" applyFill="1" applyBorder="1" applyAlignment="1">
      <alignment horizontal="center" vertical="center" wrapText="1"/>
    </xf>
    <xf numFmtId="0" fontId="10" fillId="0" borderId="0" xfId="0" applyNumberFormat="1" applyFont="1" applyAlignment="1">
      <alignment vertical="center"/>
    </xf>
    <xf numFmtId="49" fontId="10" fillId="0" borderId="0" xfId="0" applyNumberFormat="1" applyFont="1">
      <alignment vertical="top"/>
    </xf>
    <xf numFmtId="49" fontId="24" fillId="0" borderId="0" xfId="0" applyNumberFormat="1" applyFont="1" applyAlignment="1">
      <alignment horizontal="center" vertical="top" wrapText="1"/>
    </xf>
    <xf numFmtId="49" fontId="24" fillId="0" borderId="0" xfId="0" applyNumberFormat="1" applyFont="1" applyAlignment="1">
      <alignment vertical="top" wrapText="1"/>
    </xf>
    <xf numFmtId="49" fontId="24" fillId="0" borderId="0" xfId="0" applyNumberFormat="1" applyFont="1" applyAlignment="1">
      <alignment horizontal="left" vertical="top" wrapText="1"/>
    </xf>
    <xf numFmtId="49" fontId="24" fillId="14" borderId="0" xfId="0" applyNumberFormat="1" applyFont="1" applyFill="1" applyAlignment="1">
      <alignment horizontal="left" vertical="top" wrapText="1"/>
    </xf>
    <xf numFmtId="0" fontId="24" fillId="0" borderId="0" xfId="0" applyNumberFormat="1" applyFont="1" applyAlignment="1">
      <alignment vertical="top" wrapText="1"/>
    </xf>
    <xf numFmtId="49" fontId="24" fillId="0" borderId="3" xfId="0" applyNumberFormat="1" applyFont="1" applyBorder="1" applyAlignment="1">
      <alignment horizontal="center" vertical="top" wrapText="1"/>
    </xf>
    <xf numFmtId="49" fontId="24" fillId="0" borderId="3" xfId="0" applyNumberFormat="1" applyFont="1" applyBorder="1" applyAlignment="1">
      <alignment vertical="top" wrapText="1"/>
    </xf>
    <xf numFmtId="49" fontId="25" fillId="14" borderId="3" xfId="0" applyNumberFormat="1" applyFont="1" applyFill="1" applyBorder="1" applyAlignment="1">
      <alignment horizontal="center" vertical="top" wrapText="1"/>
    </xf>
    <xf numFmtId="49" fontId="24" fillId="0" borderId="3" xfId="0" applyNumberFormat="1" applyFont="1" applyBorder="1" applyAlignment="1">
      <alignment horizontal="left" vertical="top" wrapText="1"/>
    </xf>
    <xf numFmtId="0" fontId="24" fillId="14" borderId="3" xfId="0" applyNumberFormat="1" applyFont="1" applyFill="1" applyBorder="1" applyAlignment="1">
      <alignment horizontal="right" vertical="center" wrapText="1"/>
    </xf>
    <xf numFmtId="49" fontId="24" fillId="0" borderId="6" xfId="0" applyNumberFormat="1" applyFont="1" applyBorder="1" applyAlignment="1">
      <alignment horizontal="center" vertical="top" wrapText="1"/>
    </xf>
    <xf numFmtId="49" fontId="24" fillId="0" borderId="7" xfId="0" applyNumberFormat="1" applyFont="1" applyBorder="1" applyAlignment="1">
      <alignment horizontal="center" vertical="top" wrapText="1"/>
    </xf>
    <xf numFmtId="49" fontId="24" fillId="0" borderId="13" xfId="0" applyNumberFormat="1" applyFont="1" applyBorder="1" applyAlignment="1">
      <alignment horizontal="center" vertical="top" wrapText="1"/>
    </xf>
    <xf numFmtId="0" fontId="24" fillId="14" borderId="3" xfId="0" applyNumberFormat="1" applyFont="1" applyFill="1" applyBorder="1" applyAlignment="1">
      <alignment horizontal="center" vertical="center" wrapText="1"/>
    </xf>
    <xf numFmtId="49" fontId="24" fillId="0" borderId="4" xfId="0" applyNumberFormat="1" applyFont="1" applyBorder="1" applyAlignment="1">
      <alignment horizontal="center" vertical="top" wrapText="1"/>
    </xf>
    <xf numFmtId="49" fontId="24" fillId="0" borderId="10" xfId="0" applyNumberFormat="1" applyFont="1" applyBorder="1" applyAlignment="1">
      <alignment horizontal="center" vertical="top" wrapText="1"/>
    </xf>
    <xf numFmtId="49" fontId="24" fillId="0" borderId="14" xfId="0" applyNumberFormat="1" applyFont="1" applyBorder="1" applyAlignment="1">
      <alignment horizontal="center" vertical="top" wrapText="1"/>
    </xf>
    <xf numFmtId="49" fontId="24" fillId="0" borderId="11" xfId="0" applyNumberFormat="1" applyFont="1" applyBorder="1" applyAlignment="1">
      <alignment horizontal="center" vertical="top" wrapText="1"/>
    </xf>
    <xf numFmtId="49" fontId="24" fillId="0" borderId="15" xfId="0" applyNumberFormat="1" applyFont="1" applyBorder="1" applyAlignment="1">
      <alignment horizontal="center" vertical="top" wrapText="1"/>
    </xf>
    <xf numFmtId="49" fontId="25" fillId="0" borderId="3" xfId="0" applyNumberFormat="1" applyFont="1" applyBorder="1" applyAlignment="1">
      <alignment horizontal="left" vertical="top" wrapText="1"/>
    </xf>
    <xf numFmtId="0" fontId="25" fillId="0" borderId="6" xfId="0" applyNumberFormat="1" applyFont="1" applyBorder="1" applyAlignment="1">
      <alignment horizontal="center" vertical="center" wrapText="1"/>
    </xf>
    <xf numFmtId="49" fontId="24" fillId="0" borderId="6" xfId="0" applyNumberFormat="1" applyFont="1" applyBorder="1" applyAlignment="1">
      <alignment horizontal="left" vertical="top" wrapText="1"/>
    </xf>
    <xf numFmtId="0" fontId="25" fillId="0" borderId="3" xfId="0" applyNumberFormat="1" applyFont="1" applyBorder="1" applyAlignment="1">
      <alignment horizontal="center" vertical="center" wrapText="1"/>
    </xf>
    <xf numFmtId="49" fontId="24" fillId="0" borderId="15" xfId="0" applyNumberFormat="1" applyFont="1" applyBorder="1" applyAlignment="1">
      <alignment horizontal="left" vertical="top" wrapText="1"/>
    </xf>
    <xf numFmtId="0" fontId="24" fillId="0" borderId="3" xfId="0" applyNumberFormat="1" applyFont="1" applyBorder="1" applyAlignment="1">
      <alignment horizontal="left" vertical="top" wrapText="1"/>
    </xf>
    <xf numFmtId="0" fontId="24" fillId="0" borderId="4" xfId="0" applyNumberFormat="1" applyFont="1" applyBorder="1" applyAlignment="1">
      <alignment horizontal="left" vertical="top" wrapText="1"/>
    </xf>
    <xf numFmtId="0" fontId="24" fillId="0" borderId="3" xfId="0" applyNumberFormat="1" applyFont="1" applyBorder="1" applyAlignment="1">
      <alignment vertical="top" wrapText="1"/>
    </xf>
    <xf numFmtId="0" fontId="24" fillId="0" borderId="13" xfId="0" applyNumberFormat="1" applyFont="1" applyBorder="1" applyAlignment="1">
      <alignment horizontal="left" vertical="top" wrapText="1"/>
    </xf>
    <xf numFmtId="49" fontId="24" fillId="0" borderId="16" xfId="0" applyNumberFormat="1" applyFont="1" applyBorder="1" applyAlignment="1">
      <alignment horizontal="center" vertical="top" wrapText="1"/>
    </xf>
    <xf numFmtId="0" fontId="24" fillId="0" borderId="4" xfId="0" applyNumberFormat="1" applyFont="1" applyBorder="1" applyAlignment="1">
      <alignment vertical="top" wrapText="1"/>
    </xf>
    <xf numFmtId="0" fontId="25" fillId="0" borderId="6" xfId="0" applyNumberFormat="1" applyFont="1" applyBorder="1" applyAlignment="1">
      <alignment horizontal="center" vertical="center"/>
    </xf>
    <xf numFmtId="49" fontId="25" fillId="0" borderId="3" xfId="0" applyNumberFormat="1" applyFont="1" applyBorder="1" applyAlignment="1">
      <alignment horizontal="center" vertical="center" wrapText="1"/>
    </xf>
    <xf numFmtId="0" fontId="25" fillId="0" borderId="3" xfId="0" applyNumberFormat="1" applyFont="1" applyBorder="1" applyAlignment="1">
      <alignment vertical="center" wrapText="1"/>
    </xf>
    <xf numFmtId="0" fontId="25" fillId="0" borderId="4" xfId="0" applyNumberFormat="1" applyFont="1" applyBorder="1" applyAlignment="1">
      <alignment vertical="center" wrapText="1"/>
    </xf>
    <xf numFmtId="0" fontId="25" fillId="0" borderId="11" xfId="0" applyNumberFormat="1" applyFont="1" applyBorder="1" applyAlignment="1">
      <alignment vertical="center" wrapText="1"/>
    </xf>
    <xf numFmtId="49" fontId="24" fillId="14" borderId="3" xfId="0" applyNumberFormat="1" applyFont="1" applyFill="1" applyBorder="1" applyAlignment="1">
      <alignment horizontal="center" vertical="top" wrapText="1"/>
    </xf>
    <xf numFmtId="0" fontId="25" fillId="14" borderId="3" xfId="0" applyNumberFormat="1" applyFont="1" applyFill="1" applyBorder="1" applyAlignment="1">
      <alignment horizontal="center" vertical="top" wrapText="1"/>
    </xf>
    <xf numFmtId="49" fontId="24" fillId="14" borderId="3" xfId="0" applyNumberFormat="1" applyFont="1" applyFill="1" applyBorder="1" applyAlignment="1">
      <alignment horizontal="left" vertical="top" wrapText="1"/>
    </xf>
    <xf numFmtId="49" fontId="24" fillId="0" borderId="13" xfId="0" applyNumberFormat="1" applyFont="1" applyBorder="1" applyAlignment="1">
      <alignment horizontal="left" vertical="top" wrapText="1"/>
    </xf>
    <xf numFmtId="49" fontId="25" fillId="0" borderId="4" xfId="0" applyNumberFormat="1" applyFont="1" applyBorder="1" applyAlignment="1">
      <alignment horizontal="center" vertical="center" wrapText="1"/>
    </xf>
    <xf numFmtId="49" fontId="25" fillId="0" borderId="11" xfId="0" applyNumberFormat="1" applyFont="1" applyBorder="1" applyAlignment="1">
      <alignment horizontal="center" vertical="center" wrapText="1"/>
    </xf>
    <xf numFmtId="0" fontId="25" fillId="0" borderId="4" xfId="0" applyNumberFormat="1" applyFont="1" applyBorder="1" applyAlignment="1">
      <alignment horizontal="center" vertical="center" wrapText="1"/>
    </xf>
    <xf numFmtId="49" fontId="24" fillId="0" borderId="10" xfId="0" applyNumberFormat="1" applyFont="1" applyBorder="1" applyAlignment="1">
      <alignment horizontal="left" vertical="top" wrapText="1"/>
    </xf>
    <xf numFmtId="0" fontId="24" fillId="0" borderId="10" xfId="0" applyNumberFormat="1" applyFont="1" applyBorder="1" applyAlignment="1">
      <alignment horizontal="left" vertical="top" wrapText="1"/>
    </xf>
    <xf numFmtId="49" fontId="24" fillId="0" borderId="0" xfId="0" applyNumberFormat="1" applyFont="1">
      <alignment vertical="top"/>
    </xf>
    <xf numFmtId="49" fontId="25" fillId="0" borderId="3" xfId="0" applyNumberFormat="1" applyFont="1" applyBorder="1" applyAlignment="1">
      <alignment horizontal="center" vertical="top" wrapText="1"/>
    </xf>
    <xf numFmtId="49" fontId="25" fillId="14" borderId="3" xfId="0" applyNumberFormat="1" applyFont="1" applyFill="1" applyBorder="1" applyAlignment="1">
      <alignment horizontal="center" vertical="top"/>
    </xf>
    <xf numFmtId="49" fontId="25" fillId="0" borderId="3" xfId="0" applyNumberFormat="1" applyFont="1" applyBorder="1" applyAlignment="1">
      <alignment vertical="top" wrapText="1"/>
    </xf>
    <xf numFmtId="0" fontId="25" fillId="0" borderId="3" xfId="0" applyNumberFormat="1" applyFont="1" applyBorder="1" applyAlignment="1">
      <alignment vertical="top" wrapText="1"/>
    </xf>
    <xf numFmtId="49" fontId="25" fillId="0" borderId="3" xfId="0" applyNumberFormat="1" applyFont="1" applyBorder="1">
      <alignment vertical="top"/>
    </xf>
    <xf numFmtId="49" fontId="24" fillId="0" borderId="3" xfId="0" applyNumberFormat="1" applyFont="1" applyBorder="1">
      <alignment vertical="top"/>
    </xf>
    <xf numFmtId="49" fontId="0" fillId="15" borderId="0" xfId="0" applyNumberFormat="1" applyFont="1" applyFill="1">
      <alignment vertical="top"/>
    </xf>
    <xf numFmtId="0" fontId="4" fillId="0" borderId="0" xfId="0" applyNumberFormat="1" applyFont="1" applyAlignment="1"/>
    <xf numFmtId="0" fontId="15" fillId="0" borderId="0" xfId="0" applyNumberFormat="1" applyFont="1" applyAlignment="1">
      <alignment vertical="center" wrapText="1"/>
    </xf>
    <xf numFmtId="0" fontId="0" fillId="3" borderId="0" xfId="0" applyNumberFormat="1" applyFont="1" applyFill="1" applyAlignment="1"/>
    <xf numFmtId="0" fontId="26" fillId="0" borderId="0" xfId="0" applyNumberFormat="1" applyFont="1" applyAlignment="1">
      <alignment vertical="center" wrapText="1"/>
    </xf>
    <xf numFmtId="49" fontId="23" fillId="0" borderId="0" xfId="0" applyNumberFormat="1" applyFont="1" applyAlignment="1">
      <alignment vertical="center"/>
    </xf>
    <xf numFmtId="49" fontId="21" fillId="0" borderId="0" xfId="0" applyNumberFormat="1" applyFont="1">
      <alignment vertical="top"/>
    </xf>
    <xf numFmtId="0" fontId="11" fillId="3" borderId="0" xfId="0" applyNumberFormat="1" applyFont="1" applyFill="1" applyAlignment="1">
      <alignment horizontal="center" vertical="center" wrapText="1"/>
    </xf>
    <xf numFmtId="0" fontId="4" fillId="3" borderId="3" xfId="0" applyNumberFormat="1" applyFont="1" applyFill="1" applyBorder="1" applyAlignment="1">
      <alignment horizontal="center" vertical="center"/>
    </xf>
    <xf numFmtId="49" fontId="4" fillId="13" borderId="3" xfId="0" applyNumberFormat="1" applyFont="1" applyFill="1" applyBorder="1" applyAlignment="1" applyProtection="1">
      <alignment horizontal="left" vertical="center" wrapText="1"/>
      <protection locked="0"/>
    </xf>
    <xf numFmtId="0" fontId="11" fillId="3" borderId="0" xfId="0" applyNumberFormat="1" applyFont="1" applyFill="1" applyAlignment="1">
      <alignment horizontal="center"/>
    </xf>
    <xf numFmtId="49" fontId="4" fillId="11"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top" wrapText="1"/>
    </xf>
    <xf numFmtId="0" fontId="11" fillId="0" borderId="0" xfId="0" applyNumberFormat="1" applyFont="1" applyAlignment="1">
      <alignment horizontal="center" vertical="center" wrapText="1"/>
    </xf>
    <xf numFmtId="0" fontId="10" fillId="0" borderId="3" xfId="0" applyNumberFormat="1" applyFont="1" applyBorder="1" applyAlignment="1">
      <alignment horizontal="center" vertical="center"/>
    </xf>
    <xf numFmtId="49" fontId="4" fillId="13" borderId="3" xfId="0" applyNumberFormat="1" applyFont="1" applyFill="1" applyBorder="1" applyAlignment="1" applyProtection="1">
      <alignment vertical="center" wrapText="1"/>
      <protection locked="0"/>
    </xf>
    <xf numFmtId="49" fontId="8" fillId="0" borderId="3" xfId="0" applyNumberFormat="1" applyFont="1" applyBorder="1" applyAlignment="1">
      <alignment horizontal="left" vertical="center" wrapText="1"/>
    </xf>
    <xf numFmtId="0" fontId="27" fillId="0" borderId="12" xfId="0" applyNumberFormat="1" applyFont="1" applyBorder="1" applyAlignment="1">
      <alignment vertical="top" wrapText="1"/>
    </xf>
    <xf numFmtId="0" fontId="8" fillId="0" borderId="11" xfId="0" applyNumberFormat="1" applyFont="1" applyBorder="1" applyAlignment="1">
      <alignment horizontal="center" vertical="center" wrapText="1"/>
    </xf>
    <xf numFmtId="186" fontId="4" fillId="10" borderId="11" xfId="0" applyNumberFormat="1" applyFont="1" applyFill="1" applyBorder="1" applyAlignment="1">
      <alignment horizontal="left" vertical="center" wrapText="1" indent="1"/>
    </xf>
    <xf numFmtId="0" fontId="0" fillId="0" borderId="0" xfId="0" applyNumberFormat="1" applyFont="1" applyAlignment="1">
      <alignment vertical="center" wrapText="1"/>
    </xf>
    <xf numFmtId="49" fontId="3" fillId="12" borderId="6" xfId="0" applyNumberFormat="1" applyFont="1" applyFill="1" applyBorder="1" applyAlignment="1">
      <alignment horizontal="right" vertical="center" wrapText="1"/>
    </xf>
    <xf numFmtId="49" fontId="3" fillId="12" borderId="7" xfId="0" applyNumberFormat="1" applyFont="1" applyFill="1" applyBorder="1" applyAlignment="1">
      <alignment horizontal="right" vertical="center" wrapText="1"/>
    </xf>
    <xf numFmtId="49" fontId="17" fillId="12" borderId="7" xfId="0" applyNumberFormat="1" applyFont="1" applyFill="1" applyBorder="1" applyAlignment="1">
      <alignment horizontal="left" vertical="center" indent="1"/>
    </xf>
    <xf numFmtId="49" fontId="0" fillId="12" borderId="7" xfId="0" applyNumberFormat="1" applyFont="1" applyFill="1" applyBorder="1" applyAlignment="1">
      <alignment horizontal="right" vertical="center" wrapText="1"/>
    </xf>
    <xf numFmtId="0" fontId="8" fillId="0" borderId="3" xfId="0" applyNumberFormat="1" applyFont="1" applyBorder="1" applyAlignment="1">
      <alignment horizontal="center" vertical="center" wrapText="1"/>
    </xf>
    <xf numFmtId="186" fontId="4" fillId="10" borderId="3" xfId="0" applyNumberFormat="1" applyFont="1" applyFill="1" applyBorder="1" applyAlignment="1">
      <alignment horizontal="left" vertical="center" wrapText="1" indent="1"/>
    </xf>
    <xf numFmtId="0" fontId="27" fillId="0" borderId="12"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4" fillId="10" borderId="4" xfId="0" applyNumberFormat="1" applyFont="1" applyFill="1" applyBorder="1" applyAlignment="1">
      <alignment horizontal="left" vertical="center" wrapText="1" indent="2"/>
    </xf>
    <xf numFmtId="186" fontId="28" fillId="0" borderId="4"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4" fillId="10" borderId="10" xfId="0" applyNumberFormat="1" applyFont="1" applyFill="1" applyBorder="1" applyAlignment="1">
      <alignment horizontal="left" vertical="center" wrapText="1" indent="2"/>
    </xf>
    <xf numFmtId="186" fontId="28" fillId="0" borderId="10" xfId="0" applyNumberFormat="1" applyFont="1" applyBorder="1" applyAlignment="1">
      <alignment horizontal="center" vertical="center" wrapText="1"/>
    </xf>
    <xf numFmtId="0" fontId="4" fillId="10" borderId="11" xfId="0" applyNumberFormat="1" applyFont="1" applyFill="1" applyBorder="1" applyAlignment="1">
      <alignment horizontal="left" vertical="center" wrapText="1" indent="2"/>
    </xf>
    <xf numFmtId="0" fontId="27" fillId="0" borderId="3" xfId="0" applyNumberFormat="1" applyFont="1" applyBorder="1" applyAlignment="1">
      <alignment horizontal="center" vertical="center" wrapText="1"/>
    </xf>
    <xf numFmtId="49" fontId="4" fillId="3" borderId="0" xfId="0" applyNumberFormat="1" applyFont="1" applyFill="1" applyAlignment="1">
      <alignment horizontal="center" vertical="center" wrapText="1"/>
    </xf>
    <xf numFmtId="0" fontId="4" fillId="3" borderId="0" xfId="0" applyNumberFormat="1" applyFont="1" applyFill="1" applyAlignment="1">
      <alignment horizontal="center" vertical="top" wrapText="1"/>
    </xf>
    <xf numFmtId="0" fontId="0" fillId="3" borderId="3" xfId="0" applyNumberFormat="1" applyFont="1" applyFill="1" applyBorder="1" applyAlignment="1">
      <alignment horizontal="center" vertical="center"/>
    </xf>
    <xf numFmtId="49" fontId="0" fillId="13" borderId="3" xfId="0" applyNumberFormat="1" applyFont="1" applyFill="1" applyBorder="1" applyAlignment="1" applyProtection="1">
      <alignment horizontal="left" vertical="center" wrapText="1" indent="1"/>
      <protection locked="0"/>
    </xf>
    <xf numFmtId="49" fontId="4" fillId="10" borderId="6" xfId="0" applyNumberFormat="1" applyFont="1" applyFill="1" applyBorder="1" applyAlignment="1">
      <alignment horizontal="left" vertical="center" wrapText="1"/>
    </xf>
    <xf numFmtId="0" fontId="29" fillId="3" borderId="0" xfId="0" applyNumberFormat="1" applyFont="1" applyFill="1" applyAlignment="1"/>
    <xf numFmtId="49" fontId="4" fillId="13" borderId="6" xfId="0" applyNumberFormat="1" applyFont="1" applyFill="1" applyBorder="1" applyAlignment="1" applyProtection="1">
      <alignment horizontal="left" vertical="center" wrapText="1"/>
      <protection locked="0"/>
    </xf>
    <xf numFmtId="0" fontId="10" fillId="3" borderId="0" xfId="0" applyNumberFormat="1" applyFont="1" applyFill="1" applyAlignment="1">
      <alignment vertical="center" wrapText="1"/>
    </xf>
    <xf numFmtId="0" fontId="4" fillId="3" borderId="12" xfId="0" applyNumberFormat="1" applyFont="1" applyFill="1" applyBorder="1" applyAlignment="1">
      <alignment horizontal="center" vertical="center" wrapText="1"/>
    </xf>
    <xf numFmtId="49" fontId="0" fillId="3" borderId="3" xfId="0" applyNumberFormat="1" applyFont="1" applyFill="1" applyBorder="1" applyAlignment="1">
      <alignment horizontal="center" vertical="center"/>
    </xf>
    <xf numFmtId="0" fontId="0" fillId="3" borderId="3" xfId="0" applyNumberFormat="1" applyFont="1" applyFill="1" applyBorder="1" applyAlignment="1">
      <alignment horizontal="left" vertical="center" wrapText="1" indent="1"/>
    </xf>
    <xf numFmtId="0" fontId="0" fillId="3" borderId="3" xfId="0" applyNumberFormat="1" applyFont="1" applyFill="1" applyBorder="1" applyAlignment="1">
      <alignment vertical="center" wrapText="1"/>
    </xf>
    <xf numFmtId="0" fontId="0" fillId="3" borderId="3" xfId="0" applyNumberFormat="1" applyFont="1" applyFill="1" applyBorder="1" applyAlignment="1">
      <alignment horizontal="left" vertical="center" wrapText="1" indent="2"/>
    </xf>
    <xf numFmtId="49" fontId="0" fillId="13" borderId="3" xfId="0" applyNumberFormat="1" applyFont="1" applyFill="1" applyBorder="1" applyAlignment="1" applyProtection="1">
      <alignment horizontal="left" vertical="center" wrapText="1"/>
      <protection locked="0"/>
    </xf>
    <xf numFmtId="0" fontId="4" fillId="3" borderId="3" xfId="0" applyNumberFormat="1" applyFont="1" applyFill="1" applyBorder="1" applyAlignment="1">
      <alignment vertical="center" wrapText="1"/>
    </xf>
    <xf numFmtId="186" fontId="0" fillId="13" borderId="3" xfId="0" applyNumberFormat="1" applyFont="1" applyFill="1" applyBorder="1" applyAlignment="1" applyProtection="1">
      <alignment horizontal="left" vertical="center" wrapText="1" indent="1"/>
      <protection locked="0"/>
    </xf>
    <xf numFmtId="0" fontId="11" fillId="3" borderId="0" xfId="0" applyNumberFormat="1" applyFont="1" applyFill="1" applyAlignment="1">
      <alignment vertical="top" wrapText="1"/>
    </xf>
    <xf numFmtId="0" fontId="4" fillId="3" borderId="6" xfId="0" applyNumberFormat="1" applyFont="1" applyFill="1" applyBorder="1" applyAlignment="1">
      <alignment horizontal="center" vertical="center" wrapText="1"/>
    </xf>
    <xf numFmtId="0" fontId="10" fillId="3" borderId="3" xfId="0" applyNumberFormat="1" applyFont="1" applyFill="1" applyBorder="1" applyAlignment="1">
      <alignment horizontal="center" vertical="center" wrapText="1"/>
    </xf>
    <xf numFmtId="186" fontId="4" fillId="10" borderId="17"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11" borderId="3" xfId="0" applyNumberFormat="1" applyFont="1" applyFill="1" applyBorder="1" applyAlignment="1" applyProtection="1">
      <alignment horizontal="left" vertical="center" wrapText="1"/>
      <protection locked="0"/>
    </xf>
    <xf numFmtId="49" fontId="27" fillId="3" borderId="3" xfId="0" applyNumberFormat="1" applyFont="1" applyFill="1" applyBorder="1" applyAlignment="1">
      <alignment horizontal="center" vertical="center" wrapText="1"/>
    </xf>
    <xf numFmtId="185" fontId="0" fillId="13" borderId="3" xfId="0" applyNumberFormat="1" applyFont="1" applyFill="1" applyBorder="1" applyAlignment="1" applyProtection="1">
      <alignment horizontal="right" vertical="center" wrapText="1"/>
      <protection locked="0"/>
    </xf>
    <xf numFmtId="49" fontId="8" fillId="0" borderId="0" xfId="0" applyNumberFormat="1" applyFont="1">
      <alignment vertical="top"/>
    </xf>
    <xf numFmtId="49" fontId="11" fillId="0" borderId="0" xfId="0" applyNumberFormat="1" applyFont="1" applyAlignment="1">
      <alignment horizontal="center" vertical="center" wrapText="1"/>
    </xf>
    <xf numFmtId="49" fontId="30" fillId="13" borderId="3" xfId="0" applyNumberFormat="1" applyFont="1" applyFill="1" applyBorder="1" applyAlignment="1" applyProtection="1">
      <alignment horizontal="left" vertical="center" wrapText="1"/>
      <protection locked="0"/>
    </xf>
    <xf numFmtId="0" fontId="31" fillId="0" borderId="0" xfId="0" applyNumberFormat="1" applyFont="1" applyAlignment="1">
      <alignment vertical="center"/>
    </xf>
    <xf numFmtId="49" fontId="4" fillId="2" borderId="11" xfId="0" applyNumberFormat="1" applyFont="1" applyFill="1" applyBorder="1" applyAlignment="1">
      <alignment horizontal="center" vertical="center" wrapText="1"/>
    </xf>
    <xf numFmtId="49" fontId="0" fillId="12" borderId="13" xfId="0" applyNumberFormat="1" applyFont="1" applyFill="1" applyBorder="1" applyAlignment="1">
      <alignment horizontal="right" vertical="center" wrapText="1"/>
    </xf>
    <xf numFmtId="49" fontId="4" fillId="2" borderId="3" xfId="0" applyNumberFormat="1" applyFont="1" applyFill="1" applyBorder="1" applyAlignment="1">
      <alignment horizontal="center" vertical="center" wrapText="1"/>
    </xf>
    <xf numFmtId="0" fontId="32" fillId="0" borderId="3" xfId="0" applyNumberFormat="1" applyFont="1" applyBorder="1" applyAlignment="1">
      <alignment horizontal="left" vertical="center" wrapText="1" indent="1"/>
    </xf>
    <xf numFmtId="0" fontId="28" fillId="0" borderId="4" xfId="0" applyNumberFormat="1" applyFont="1" applyBorder="1" applyAlignment="1">
      <alignment horizontal="center" vertical="center" wrapText="1"/>
    </xf>
    <xf numFmtId="49" fontId="32" fillId="0" borderId="3" xfId="0" applyNumberFormat="1" applyFont="1" applyBorder="1" applyAlignment="1">
      <alignment horizontal="left" vertical="center" wrapText="1" indent="1"/>
    </xf>
    <xf numFmtId="0" fontId="32" fillId="0" borderId="3" xfId="0" applyNumberFormat="1" applyFont="1" applyBorder="1" applyAlignment="1">
      <alignment horizontal="left" vertical="top" indent="1"/>
    </xf>
    <xf numFmtId="49" fontId="17" fillId="12" borderId="13" xfId="0" applyNumberFormat="1" applyFont="1" applyFill="1" applyBorder="1" applyAlignment="1">
      <alignment horizontal="left" vertical="center" indent="1"/>
    </xf>
    <xf numFmtId="49" fontId="3" fillId="12" borderId="13" xfId="0" applyNumberFormat="1" applyFont="1" applyFill="1" applyBorder="1" applyAlignment="1">
      <alignment horizontal="right" vertical="center" wrapText="1"/>
    </xf>
    <xf numFmtId="0" fontId="4" fillId="10" borderId="3" xfId="0" applyNumberFormat="1" applyFont="1" applyFill="1" applyBorder="1" applyAlignment="1">
      <alignment horizontal="left" vertical="center" wrapText="1" indent="1"/>
    </xf>
    <xf numFmtId="49" fontId="4" fillId="0" borderId="13" xfId="0" applyNumberFormat="1" applyFont="1" applyBorder="1" applyAlignment="1">
      <alignment horizontal="center" vertical="center" wrapText="1"/>
    </xf>
    <xf numFmtId="49" fontId="32" fillId="13" borderId="3" xfId="0" applyNumberFormat="1" applyFont="1" applyFill="1" applyBorder="1" applyAlignment="1" applyProtection="1">
      <alignment horizontal="left" vertical="center" wrapText="1" indent="1"/>
      <protection locked="0"/>
    </xf>
    <xf numFmtId="0" fontId="8" fillId="0" borderId="16" xfId="0" applyNumberFormat="1" applyFont="1" applyBorder="1" applyAlignment="1">
      <alignment vertical="center"/>
    </xf>
    <xf numFmtId="0" fontId="33" fillId="0" borderId="0" xfId="0" applyNumberFormat="1" applyFont="1" applyAlignment="1">
      <alignment vertical="center" wrapText="1"/>
    </xf>
    <xf numFmtId="186" fontId="4" fillId="10" borderId="3" xfId="0" applyNumberFormat="1" applyFont="1" applyFill="1" applyBorder="1" applyAlignment="1">
      <alignment horizontal="center" vertical="center" wrapText="1"/>
    </xf>
    <xf numFmtId="0" fontId="10" fillId="0" borderId="0" xfId="0" applyNumberFormat="1" applyFont="1" applyAlignment="1">
      <alignment horizontal="left" vertical="center" wrapText="1"/>
    </xf>
    <xf numFmtId="187" fontId="0" fillId="13" borderId="3" xfId="0" applyNumberFormat="1" applyFont="1" applyFill="1" applyBorder="1" applyAlignment="1" applyProtection="1">
      <alignment horizontal="right" vertical="center" wrapText="1"/>
      <protection locked="0"/>
    </xf>
    <xf numFmtId="185" fontId="0" fillId="13" borderId="13" xfId="0" applyNumberFormat="1" applyFont="1" applyFill="1" applyBorder="1" applyAlignment="1" applyProtection="1">
      <alignment horizontal="right" vertical="center" wrapText="1"/>
      <protection locked="0"/>
    </xf>
    <xf numFmtId="0" fontId="0" fillId="11" borderId="3" xfId="0" applyNumberFormat="1" applyFont="1" applyFill="1" applyBorder="1" applyAlignment="1" applyProtection="1">
      <alignment horizontal="right" vertical="center" wrapText="1"/>
      <protection locked="0"/>
    </xf>
    <xf numFmtId="0" fontId="10" fillId="0" borderId="0" xfId="0" applyNumberFormat="1" applyFont="1">
      <alignment vertical="top"/>
    </xf>
    <xf numFmtId="0" fontId="34" fillId="0" borderId="0" xfId="0" applyNumberFormat="1" applyFont="1" applyAlignment="1">
      <alignment vertical="center" wrapText="1"/>
    </xf>
    <xf numFmtId="49" fontId="35" fillId="15" borderId="0" xfId="0" applyNumberFormat="1" applyFont="1" applyFill="1">
      <alignment vertical="top"/>
    </xf>
    <xf numFmtId="49" fontId="35" fillId="0" borderId="0" xfId="0" applyNumberFormat="1" applyFont="1">
      <alignment vertical="top"/>
    </xf>
    <xf numFmtId="0" fontId="34" fillId="0" borderId="0" xfId="0" applyNumberFormat="1" applyFont="1" applyAlignment="1">
      <alignment vertical="center"/>
    </xf>
    <xf numFmtId="49" fontId="10" fillId="0" borderId="0" xfId="0" applyNumberFormat="1" applyFont="1" applyAlignment="1">
      <alignment horizontal="left" vertical="center" wrapText="1"/>
    </xf>
    <xf numFmtId="187" fontId="0" fillId="0" borderId="13" xfId="0" applyNumberFormat="1" applyFont="1" applyBorder="1" applyAlignment="1">
      <alignment horizontal="right" vertical="center" wrapText="1"/>
    </xf>
    <xf numFmtId="0" fontId="0" fillId="0" borderId="11" xfId="0" applyNumberFormat="1" applyFont="1" applyBorder="1" applyAlignment="1">
      <alignment horizontal="center" vertical="center" wrapText="1"/>
    </xf>
    <xf numFmtId="49" fontId="0" fillId="3" borderId="3" xfId="0" applyNumberFormat="1" applyFont="1" applyFill="1" applyBorder="1" applyAlignment="1">
      <alignment horizontal="center" vertical="center" wrapText="1"/>
    </xf>
    <xf numFmtId="0" fontId="0" fillId="13" borderId="6" xfId="0" applyNumberFormat="1" applyFont="1" applyFill="1" applyBorder="1" applyAlignment="1" applyProtection="1">
      <alignment horizontal="left" vertical="center" wrapText="1" indent="2"/>
      <protection locked="0"/>
    </xf>
    <xf numFmtId="49" fontId="8" fillId="0" borderId="0" xfId="0" applyNumberFormat="1" applyFont="1" applyAlignment="1">
      <alignment horizontal="center" vertical="center" wrapText="1"/>
    </xf>
    <xf numFmtId="0" fontId="11" fillId="0" borderId="12" xfId="0" applyNumberFormat="1" applyFont="1" applyBorder="1" applyAlignment="1">
      <alignment horizontal="center" vertical="center" wrapText="1"/>
    </xf>
    <xf numFmtId="49" fontId="4" fillId="0" borderId="3" xfId="0" applyNumberFormat="1" applyFont="1" applyBorder="1" applyAlignment="1">
      <alignment horizontal="center" vertical="top" wrapText="1"/>
    </xf>
    <xf numFmtId="0" fontId="0" fillId="2" borderId="3" xfId="0" applyNumberFormat="1" applyFont="1" applyFill="1" applyBorder="1" applyAlignment="1">
      <alignment horizontal="left" vertical="top" wrapText="1" indent="1"/>
    </xf>
    <xf numFmtId="49" fontId="4" fillId="10" borderId="4" xfId="0" applyNumberFormat="1" applyFont="1" applyFill="1" applyBorder="1" applyAlignment="1">
      <alignment horizontal="center" vertical="top" wrapText="1"/>
    </xf>
    <xf numFmtId="0" fontId="4" fillId="0" borderId="12" xfId="0" applyNumberFormat="1" applyFont="1" applyBorder="1" applyAlignment="1">
      <alignment vertical="top" wrapText="1"/>
    </xf>
    <xf numFmtId="49" fontId="4" fillId="10" borderId="11" xfId="0" applyNumberFormat="1" applyFont="1" applyFill="1" applyBorder="1" applyAlignment="1">
      <alignment horizontal="center" vertical="top" wrapText="1"/>
    </xf>
    <xf numFmtId="49" fontId="4" fillId="0" borderId="10" xfId="0" applyNumberFormat="1" applyFont="1" applyBorder="1" applyAlignment="1">
      <alignment horizontal="center" vertical="top" wrapText="1"/>
    </xf>
    <xf numFmtId="0" fontId="0" fillId="2" borderId="10" xfId="0" applyNumberFormat="1" applyFont="1" applyFill="1" applyBorder="1" applyAlignment="1">
      <alignment horizontal="left" vertical="top" wrapText="1" indent="1"/>
    </xf>
    <xf numFmtId="49" fontId="4" fillId="10" borderId="10" xfId="0" applyNumberFormat="1" applyFont="1" applyFill="1" applyBorder="1" applyAlignment="1">
      <alignment horizontal="center" vertical="top" wrapText="1"/>
    </xf>
    <xf numFmtId="49" fontId="10" fillId="0" borderId="0" xfId="0" applyNumberFormat="1" applyFont="1" applyAlignment="1">
      <alignment horizontal="center" vertical="center" wrapText="1"/>
    </xf>
    <xf numFmtId="0" fontId="36" fillId="0" borderId="18" xfId="0" applyNumberFormat="1" applyFont="1" applyBorder="1" applyAlignment="1">
      <alignment horizontal="left" vertical="center" indent="1"/>
    </xf>
    <xf numFmtId="0" fontId="36" fillId="0" borderId="19" xfId="0" applyNumberFormat="1" applyFont="1" applyBorder="1" applyAlignment="1">
      <alignment horizontal="left" vertical="center" indent="1"/>
    </xf>
    <xf numFmtId="49" fontId="8" fillId="0" borderId="13" xfId="0" applyNumberFormat="1" applyFont="1" applyBorder="1" applyAlignment="1">
      <alignment horizontal="center" vertical="center" wrapText="1"/>
    </xf>
    <xf numFmtId="49" fontId="4" fillId="2" borderId="20" xfId="0" applyNumberFormat="1" applyFont="1" applyFill="1" applyBorder="1" applyAlignment="1">
      <alignment horizontal="center" vertical="center" wrapText="1"/>
    </xf>
    <xf numFmtId="0" fontId="0" fillId="12" borderId="21" xfId="0" applyNumberFormat="1" applyFont="1" applyFill="1" applyBorder="1" applyAlignment="1">
      <alignment horizontal="left" vertical="center"/>
    </xf>
    <xf numFmtId="49" fontId="0" fillId="2" borderId="10" xfId="0" applyNumberFormat="1" applyFont="1" applyFill="1" applyBorder="1">
      <alignment vertical="top"/>
    </xf>
    <xf numFmtId="49" fontId="0" fillId="0" borderId="10" xfId="0" applyNumberFormat="1" applyFont="1" applyBorder="1">
      <alignment vertical="top"/>
    </xf>
    <xf numFmtId="49" fontId="37" fillId="0" borderId="0" xfId="0" applyNumberFormat="1" applyFont="1" applyAlignment="1">
      <alignment vertical="center"/>
    </xf>
    <xf numFmtId="49" fontId="23" fillId="3" borderId="0" xfId="0" applyNumberFormat="1" applyFont="1" applyFill="1" applyAlignment="1">
      <alignment vertical="center"/>
    </xf>
    <xf numFmtId="0" fontId="36" fillId="0" borderId="22" xfId="0" applyNumberFormat="1" applyFont="1" applyBorder="1" applyAlignment="1">
      <alignment horizontal="left" vertical="center" indent="1"/>
    </xf>
    <xf numFmtId="49" fontId="4" fillId="0" borderId="23" xfId="0" applyNumberFormat="1" applyFont="1" applyBorder="1" applyAlignment="1">
      <alignment horizontal="center" vertical="center"/>
    </xf>
    <xf numFmtId="0" fontId="4" fillId="0" borderId="23" xfId="0" applyNumberFormat="1" applyFont="1" applyBorder="1" applyAlignment="1">
      <alignment horizontal="right" vertical="center"/>
    </xf>
    <xf numFmtId="0" fontId="4" fillId="13" borderId="3" xfId="0" applyNumberFormat="1" applyFont="1" applyFill="1" applyBorder="1" applyAlignment="1" applyProtection="1">
      <alignment horizontal="left" vertical="center" wrapText="1" indent="1"/>
      <protection locked="0"/>
    </xf>
    <xf numFmtId="49" fontId="17" fillId="12" borderId="24" xfId="0" applyNumberFormat="1" applyFont="1" applyFill="1" applyBorder="1" applyAlignment="1">
      <alignment horizontal="left" vertical="center" indent="1"/>
    </xf>
    <xf numFmtId="49" fontId="17" fillId="12" borderId="25" xfId="0" applyNumberFormat="1" applyFont="1" applyFill="1" applyBorder="1" applyAlignment="1">
      <alignment horizontal="left" vertical="center" indent="1"/>
    </xf>
    <xf numFmtId="49" fontId="4" fillId="0" borderId="4" xfId="0" applyNumberFormat="1" applyFont="1" applyBorder="1" applyAlignment="1">
      <alignment horizontal="center" vertical="center" wrapText="1"/>
    </xf>
    <xf numFmtId="0" fontId="0" fillId="0" borderId="6" xfId="0" applyNumberFormat="1" applyFont="1" applyBorder="1" applyAlignment="1">
      <alignment horizontal="right" vertical="center" wrapText="1" indent="1"/>
    </xf>
    <xf numFmtId="0" fontId="0" fillId="0" borderId="7" xfId="0" applyNumberFormat="1" applyFont="1" applyBorder="1" applyAlignment="1">
      <alignment horizontal="right" vertical="center" wrapText="1" indent="1"/>
    </xf>
    <xf numFmtId="0" fontId="0" fillId="0" borderId="13" xfId="0" applyNumberFormat="1" applyFont="1" applyBorder="1" applyAlignment="1">
      <alignment horizontal="right" vertical="center" wrapText="1" indent="1"/>
    </xf>
    <xf numFmtId="0" fontId="0" fillId="2" borderId="3" xfId="0" applyNumberFormat="1" applyFont="1" applyFill="1" applyBorder="1" applyAlignment="1">
      <alignment horizontal="left" vertical="center" wrapText="1" indent="1"/>
    </xf>
    <xf numFmtId="49" fontId="4" fillId="0" borderId="10" xfId="0" applyNumberFormat="1" applyFont="1" applyBorder="1" applyAlignment="1">
      <alignment horizontal="center" vertical="center" wrapText="1"/>
    </xf>
    <xf numFmtId="0" fontId="4" fillId="0" borderId="11" xfId="0" applyNumberFormat="1" applyFont="1" applyBorder="1" applyAlignment="1">
      <alignment horizontal="left" vertical="center" wrapText="1"/>
    </xf>
    <xf numFmtId="0" fontId="10" fillId="0" borderId="3" xfId="0" applyNumberFormat="1" applyFont="1" applyBorder="1" applyAlignment="1">
      <alignment horizontal="left" vertical="center" wrapText="1"/>
    </xf>
    <xf numFmtId="49" fontId="17" fillId="12" borderId="6" xfId="0" applyNumberFormat="1" applyFont="1" applyFill="1" applyBorder="1" applyAlignment="1">
      <alignment horizontal="left" vertical="center"/>
    </xf>
    <xf numFmtId="49" fontId="17" fillId="12" borderId="7" xfId="0" applyNumberFormat="1" applyFont="1" applyFill="1" applyBorder="1" applyAlignment="1">
      <alignment horizontal="left" vertical="center"/>
    </xf>
    <xf numFmtId="49" fontId="4" fillId="0" borderId="11" xfId="0" applyNumberFormat="1" applyFont="1" applyBorder="1" applyAlignment="1">
      <alignment horizontal="center" vertical="center" wrapText="1"/>
    </xf>
    <xf numFmtId="186" fontId="0" fillId="13" borderId="3" xfId="0" applyNumberFormat="1" applyFont="1" applyFill="1" applyBorder="1" applyAlignment="1" applyProtection="1">
      <alignment horizontal="center" vertical="top" wrapText="1"/>
      <protection locked="0"/>
    </xf>
    <xf numFmtId="186" fontId="0" fillId="11" borderId="3" xfId="0" applyNumberFormat="1" applyFont="1" applyFill="1" applyBorder="1" applyAlignment="1" applyProtection="1">
      <alignment horizontal="center" vertical="top" wrapText="1"/>
      <protection locked="0"/>
    </xf>
    <xf numFmtId="49" fontId="4" fillId="10" borderId="3" xfId="0" applyNumberFormat="1" applyFont="1" applyFill="1" applyBorder="1" applyAlignment="1">
      <alignment horizontal="left" vertical="top" wrapText="1"/>
    </xf>
    <xf numFmtId="49" fontId="4" fillId="13" borderId="3" xfId="0" applyNumberFormat="1" applyFont="1" applyFill="1" applyBorder="1" applyAlignment="1" applyProtection="1">
      <alignment horizontal="left" vertical="top" wrapText="1"/>
      <protection locked="0"/>
    </xf>
    <xf numFmtId="49" fontId="0" fillId="2" borderId="3" xfId="0" applyNumberFormat="1" applyFont="1" applyFill="1" applyBorder="1" applyAlignment="1">
      <alignment horizontal="center" vertical="top" wrapText="1"/>
    </xf>
    <xf numFmtId="0" fontId="4" fillId="2" borderId="3" xfId="0" applyNumberFormat="1" applyFont="1" applyFill="1" applyBorder="1" applyAlignment="1">
      <alignment horizontal="center" vertical="top" wrapText="1"/>
    </xf>
    <xf numFmtId="49" fontId="0" fillId="13" borderId="3" xfId="0" applyNumberFormat="1" applyFont="1" applyFill="1" applyBorder="1" applyAlignment="1" applyProtection="1">
      <alignment horizontal="center" vertical="top" wrapText="1"/>
      <protection locked="0"/>
    </xf>
    <xf numFmtId="49" fontId="0" fillId="11" borderId="3" xfId="0" applyNumberFormat="1" applyFont="1" applyFill="1" applyBorder="1" applyAlignment="1" applyProtection="1">
      <alignment horizontal="center" vertical="top" wrapText="1"/>
      <protection locked="0"/>
    </xf>
    <xf numFmtId="49" fontId="0" fillId="13" borderId="10" xfId="0" applyNumberFormat="1" applyFont="1" applyFill="1" applyBorder="1" applyAlignment="1" applyProtection="1">
      <alignment horizontal="center" vertical="top" wrapText="1"/>
      <protection locked="0"/>
    </xf>
    <xf numFmtId="49" fontId="0" fillId="11" borderId="10" xfId="0" applyNumberFormat="1" applyFont="1" applyFill="1" applyBorder="1" applyAlignment="1" applyProtection="1">
      <alignment horizontal="center" vertical="top" wrapText="1"/>
      <protection locked="0"/>
    </xf>
    <xf numFmtId="49" fontId="4" fillId="10" borderId="10" xfId="0" applyNumberFormat="1" applyFont="1" applyFill="1" applyBorder="1" applyAlignment="1">
      <alignment horizontal="left" vertical="top" wrapText="1"/>
    </xf>
    <xf numFmtId="49" fontId="4" fillId="13" borderId="10" xfId="0" applyNumberFormat="1" applyFont="1" applyFill="1" applyBorder="1" applyAlignment="1" applyProtection="1">
      <alignment horizontal="left" vertical="top" wrapText="1"/>
      <protection locked="0"/>
    </xf>
    <xf numFmtId="49" fontId="0" fillId="2" borderId="10" xfId="0" applyNumberFormat="1" applyFont="1" applyFill="1" applyBorder="1" applyAlignment="1">
      <alignment horizontal="center" vertical="top" wrapText="1"/>
    </xf>
    <xf numFmtId="0" fontId="4" fillId="2" borderId="10" xfId="0" applyNumberFormat="1" applyFont="1" applyFill="1" applyBorder="1" applyAlignment="1">
      <alignment horizontal="center" vertical="top" wrapText="1"/>
    </xf>
    <xf numFmtId="0" fontId="0" fillId="0" borderId="19" xfId="0" applyNumberFormat="1" applyFont="1" applyBorder="1" applyAlignment="1">
      <alignment horizontal="left" vertical="center" wrapText="1"/>
    </xf>
    <xf numFmtId="0" fontId="4" fillId="0" borderId="19" xfId="0" applyNumberFormat="1" applyFont="1" applyBorder="1" applyAlignment="1">
      <alignment vertical="center" wrapText="1"/>
    </xf>
    <xf numFmtId="0" fontId="4" fillId="0" borderId="26" xfId="0" applyNumberFormat="1" applyFont="1" applyBorder="1" applyAlignment="1">
      <alignment vertical="center" wrapText="1"/>
    </xf>
    <xf numFmtId="49" fontId="8" fillId="0" borderId="13" xfId="0" applyNumberFormat="1" applyFont="1" applyBorder="1" applyAlignment="1">
      <alignment horizontal="left" vertical="center" wrapText="1"/>
    </xf>
    <xf numFmtId="49" fontId="8" fillId="0" borderId="6" xfId="0" applyNumberFormat="1" applyFont="1" applyBorder="1" applyAlignment="1">
      <alignment horizontal="center" vertical="center" wrapText="1"/>
    </xf>
    <xf numFmtId="49" fontId="8" fillId="0" borderId="3" xfId="0" applyNumberFormat="1" applyFont="1" applyBorder="1" applyAlignment="1">
      <alignment horizontal="center" vertical="center" wrapText="1"/>
    </xf>
    <xf numFmtId="49" fontId="38" fillId="0" borderId="27" xfId="0" applyNumberFormat="1" applyFont="1" applyBorder="1" applyAlignment="1">
      <alignment horizontal="left" vertical="center" indent="1"/>
    </xf>
    <xf numFmtId="49" fontId="38" fillId="0" borderId="27" xfId="0" applyNumberFormat="1" applyFont="1" applyBorder="1" applyAlignment="1">
      <alignment horizontal="center" vertical="center"/>
    </xf>
    <xf numFmtId="49" fontId="39" fillId="0" borderId="13" xfId="0" applyNumberFormat="1" applyFont="1" applyBorder="1" applyAlignment="1">
      <alignment horizontal="center" vertical="center" wrapText="1"/>
    </xf>
    <xf numFmtId="0" fontId="38" fillId="0" borderId="3" xfId="0" applyNumberFormat="1" applyFont="1" applyBorder="1" applyAlignment="1">
      <alignment horizontal="center" vertical="center"/>
    </xf>
    <xf numFmtId="49" fontId="8" fillId="0" borderId="4" xfId="0" applyNumberFormat="1" applyFont="1" applyBorder="1" applyAlignment="1">
      <alignment horizontal="left" vertical="center" wrapText="1" indent="1"/>
    </xf>
    <xf numFmtId="49" fontId="8" fillId="0" borderId="10" xfId="0" applyNumberFormat="1" applyFont="1" applyBorder="1" applyAlignment="1">
      <alignment horizontal="left" vertical="center" wrapText="1" indent="1"/>
    </xf>
    <xf numFmtId="49" fontId="8" fillId="0" borderId="11" xfId="0" applyNumberFormat="1" applyFont="1" applyBorder="1" applyAlignment="1">
      <alignment horizontal="left" vertical="center" wrapText="1" indent="1"/>
    </xf>
    <xf numFmtId="49" fontId="38" fillId="0" borderId="7" xfId="0" applyNumberFormat="1" applyFont="1" applyBorder="1" applyAlignment="1">
      <alignment horizontal="left" vertical="center" indent="1"/>
    </xf>
    <xf numFmtId="49" fontId="8" fillId="0" borderId="7" xfId="0" applyNumberFormat="1" applyFont="1" applyBorder="1" applyAlignment="1">
      <alignment horizontal="left" vertical="center" indent="1"/>
    </xf>
    <xf numFmtId="0" fontId="4" fillId="12" borderId="21" xfId="0" applyNumberFormat="1" applyFont="1" applyFill="1" applyBorder="1" applyAlignment="1">
      <alignment vertical="center" wrapText="1"/>
    </xf>
    <xf numFmtId="0" fontId="4" fillId="12" borderId="25" xfId="0" applyNumberFormat="1" applyFont="1" applyFill="1" applyBorder="1" applyAlignment="1">
      <alignment vertical="center" wrapText="1"/>
    </xf>
    <xf numFmtId="49" fontId="4" fillId="10" borderId="4" xfId="0" applyNumberFormat="1" applyFont="1" applyFill="1" applyBorder="1" applyAlignment="1">
      <alignment vertical="center" wrapText="1"/>
    </xf>
    <xf numFmtId="49" fontId="0" fillId="13" borderId="10" xfId="0" applyNumberFormat="1" applyFont="1" applyFill="1" applyBorder="1" applyProtection="1">
      <alignment vertical="top"/>
      <protection locked="0"/>
    </xf>
    <xf numFmtId="49" fontId="40" fillId="0" borderId="3" xfId="0" applyNumberFormat="1" applyFont="1" applyBorder="1" applyAlignment="1">
      <alignment horizontal="center" vertical="center" wrapText="1"/>
    </xf>
    <xf numFmtId="0" fontId="23" fillId="0" borderId="3" xfId="0" applyNumberFormat="1" applyFont="1" applyBorder="1" applyAlignment="1">
      <alignment horizontal="center" vertical="center"/>
    </xf>
    <xf numFmtId="49" fontId="4" fillId="10" borderId="4" xfId="0" applyNumberFormat="1" applyFont="1" applyFill="1" applyBorder="1" applyAlignment="1">
      <alignment horizontal="left" vertical="center" wrapText="1" indent="1"/>
    </xf>
    <xf numFmtId="49" fontId="4" fillId="10" borderId="10" xfId="0" applyNumberFormat="1" applyFont="1" applyFill="1" applyBorder="1" applyAlignment="1">
      <alignment vertical="center" wrapText="1"/>
    </xf>
    <xf numFmtId="49" fontId="4" fillId="10" borderId="10" xfId="0" applyNumberFormat="1" applyFont="1" applyFill="1" applyBorder="1" applyAlignment="1">
      <alignment horizontal="left" vertical="center" wrapText="1" indent="1"/>
    </xf>
    <xf numFmtId="49" fontId="4" fillId="10" borderId="11" xfId="0" applyNumberFormat="1" applyFont="1" applyFill="1" applyBorder="1" applyAlignment="1">
      <alignment vertical="center" wrapText="1"/>
    </xf>
    <xf numFmtId="49" fontId="4" fillId="10" borderId="11" xfId="0" applyNumberFormat="1" applyFont="1" applyFill="1" applyBorder="1" applyAlignment="1">
      <alignment horizontal="left" vertical="center" wrapText="1" indent="1"/>
    </xf>
    <xf numFmtId="49" fontId="4" fillId="10" borderId="13" xfId="0" applyNumberFormat="1" applyFont="1" applyFill="1" applyBorder="1" applyAlignment="1">
      <alignment horizontal="left" vertical="center" wrapText="1"/>
    </xf>
    <xf numFmtId="49" fontId="4" fillId="10" borderId="3" xfId="0" applyNumberFormat="1" applyFont="1" applyFill="1" applyBorder="1" applyAlignment="1">
      <alignment horizontal="left" vertical="center" wrapText="1"/>
    </xf>
    <xf numFmtId="49" fontId="41" fillId="12" borderId="28" xfId="0" applyNumberFormat="1" applyFont="1" applyFill="1" applyBorder="1" applyAlignment="1">
      <alignment horizontal="left" vertical="center" indent="1"/>
    </xf>
    <xf numFmtId="49" fontId="38" fillId="12" borderId="27" xfId="0" applyNumberFormat="1" applyFont="1" applyFill="1" applyBorder="1" applyAlignment="1">
      <alignment horizontal="center" vertical="center"/>
    </xf>
    <xf numFmtId="49" fontId="41" fillId="12" borderId="27" xfId="0" applyNumberFormat="1" applyFont="1" applyFill="1" applyBorder="1" applyAlignment="1">
      <alignment horizontal="left" vertical="center" indent="1"/>
    </xf>
    <xf numFmtId="0" fontId="23" fillId="0" borderId="13" xfId="0" applyNumberFormat="1" applyFont="1" applyBorder="1" applyAlignment="1">
      <alignment horizontal="center" vertical="center"/>
    </xf>
    <xf numFmtId="49" fontId="41" fillId="12" borderId="6" xfId="0" applyNumberFormat="1" applyFont="1" applyFill="1" applyBorder="1" applyAlignment="1">
      <alignment horizontal="left" vertical="center" indent="1"/>
    </xf>
    <xf numFmtId="49" fontId="41" fillId="12" borderId="7" xfId="0" applyNumberFormat="1" applyFont="1" applyFill="1" applyBorder="1" applyAlignment="1">
      <alignment horizontal="left" vertical="center" indent="1"/>
    </xf>
    <xf numFmtId="49" fontId="4" fillId="11" borderId="3" xfId="0" applyNumberFormat="1" applyFont="1" applyFill="1" applyBorder="1" applyAlignment="1" applyProtection="1">
      <alignment horizontal="left" vertical="center" indent="1"/>
      <protection locked="0"/>
    </xf>
    <xf numFmtId="0" fontId="4" fillId="14" borderId="3" xfId="0" applyNumberFormat="1" applyFont="1" applyFill="1" applyBorder="1" applyAlignment="1">
      <alignment horizontal="right" vertical="center"/>
    </xf>
    <xf numFmtId="185" fontId="4" fillId="11" borderId="3" xfId="0" applyNumberFormat="1" applyFont="1" applyFill="1" applyBorder="1" applyAlignment="1" applyProtection="1">
      <alignment horizontal="right" vertical="center"/>
      <protection locked="0"/>
    </xf>
    <xf numFmtId="0" fontId="4" fillId="11" borderId="3" xfId="0" applyNumberFormat="1" applyFont="1" applyFill="1" applyBorder="1" applyAlignment="1" applyProtection="1">
      <alignment horizontal="left" vertical="top" wrapText="1"/>
      <protection locked="0"/>
    </xf>
    <xf numFmtId="0" fontId="4" fillId="11" borderId="10" xfId="0" applyNumberFormat="1" applyFont="1" applyFill="1" applyBorder="1" applyAlignment="1" applyProtection="1">
      <alignment horizontal="left" vertical="top" wrapText="1"/>
      <protection locked="0"/>
    </xf>
    <xf numFmtId="49" fontId="4" fillId="2" borderId="3" xfId="0" applyNumberFormat="1" applyFont="1" applyFill="1" applyBorder="1" applyAlignment="1">
      <alignment horizontal="left" vertical="center" wrapText="1"/>
    </xf>
    <xf numFmtId="0" fontId="4" fillId="0" borderId="23" xfId="0" applyNumberFormat="1" applyFont="1" applyBorder="1" applyAlignment="1">
      <alignment horizontal="center" vertical="center"/>
    </xf>
    <xf numFmtId="0" fontId="4" fillId="0" borderId="13" xfId="0" applyNumberFormat="1" applyFont="1" applyBorder="1" applyAlignment="1">
      <alignment horizontal="left" vertical="center" wrapText="1" indent="1"/>
    </xf>
    <xf numFmtId="49" fontId="10" fillId="0" borderId="16" xfId="0" applyNumberFormat="1" applyFont="1" applyBorder="1">
      <alignment vertical="top"/>
    </xf>
    <xf numFmtId="185" fontId="4" fillId="2" borderId="3" xfId="0" applyNumberFormat="1" applyFont="1" applyFill="1" applyBorder="1" applyAlignment="1">
      <alignment horizontal="right" vertical="center" wrapText="1"/>
    </xf>
    <xf numFmtId="2" fontId="4" fillId="0" borderId="11" xfId="0" applyNumberFormat="1" applyFont="1" applyBorder="1" applyAlignment="1">
      <alignment horizontal="center" vertical="center" wrapText="1"/>
    </xf>
    <xf numFmtId="0" fontId="4" fillId="0" borderId="3" xfId="0" applyNumberFormat="1" applyFont="1" applyBorder="1" applyAlignment="1">
      <alignment horizontal="left" vertical="center" wrapText="1"/>
    </xf>
    <xf numFmtId="0" fontId="10" fillId="0" borderId="3" xfId="0" applyNumberFormat="1" applyFont="1" applyBorder="1" applyAlignment="1">
      <alignment vertical="center" wrapText="1"/>
    </xf>
    <xf numFmtId="0" fontId="10" fillId="0" borderId="16" xfId="0" applyNumberFormat="1" applyFont="1" applyBorder="1" applyAlignment="1">
      <alignment vertical="center" wrapText="1"/>
    </xf>
    <xf numFmtId="0" fontId="17" fillId="0" borderId="3" xfId="0" applyNumberFormat="1" applyFont="1" applyBorder="1" applyAlignment="1">
      <alignment horizontal="left" vertical="center" indent="1"/>
    </xf>
    <xf numFmtId="49" fontId="4" fillId="10" borderId="3" xfId="0" applyNumberFormat="1" applyFont="1" applyFill="1" applyBorder="1" applyAlignment="1">
      <alignment horizontal="center" vertical="top" wrapText="1"/>
    </xf>
    <xf numFmtId="0" fontId="4" fillId="0" borderId="10" xfId="0" applyNumberFormat="1" applyFont="1" applyBorder="1" applyAlignment="1">
      <alignment horizontal="center" vertical="center" wrapText="1"/>
    </xf>
    <xf numFmtId="49" fontId="4" fillId="13" borderId="4" xfId="0" applyNumberFormat="1" applyFont="1" applyFill="1" applyBorder="1" applyAlignment="1" applyProtection="1">
      <alignment horizontal="left" vertical="center" wrapText="1" indent="1"/>
      <protection locked="0"/>
    </xf>
    <xf numFmtId="49" fontId="4" fillId="10" borderId="6" xfId="0" applyNumberFormat="1" applyFont="1" applyFill="1" applyBorder="1" applyAlignment="1">
      <alignment horizontal="center" vertical="top" wrapText="1"/>
    </xf>
    <xf numFmtId="0" fontId="4" fillId="12" borderId="6" xfId="0" applyNumberFormat="1" applyFont="1" applyFill="1" applyBorder="1" applyAlignment="1">
      <alignment vertical="center" wrapText="1"/>
    </xf>
    <xf numFmtId="0" fontId="4" fillId="12" borderId="7" xfId="0" applyNumberFormat="1" applyFont="1" applyFill="1" applyBorder="1" applyAlignment="1">
      <alignment vertical="center" wrapText="1"/>
    </xf>
    <xf numFmtId="0" fontId="4" fillId="0" borderId="29" xfId="0" applyNumberFormat="1" applyFont="1" applyBorder="1" applyAlignment="1">
      <alignment vertical="center" wrapText="1"/>
    </xf>
    <xf numFmtId="187" fontId="8" fillId="0" borderId="3" xfId="0" applyNumberFormat="1" applyFont="1" applyBorder="1" applyAlignment="1">
      <alignment horizontal="center" vertical="center" wrapText="1"/>
    </xf>
    <xf numFmtId="49" fontId="38" fillId="0" borderId="6" xfId="0" applyNumberFormat="1" applyFont="1" applyBorder="1" applyAlignment="1">
      <alignment horizontal="left" vertical="center" indent="1"/>
    </xf>
    <xf numFmtId="49" fontId="38" fillId="0" borderId="7" xfId="0" applyNumberFormat="1" applyFont="1" applyBorder="1" applyAlignment="1">
      <alignment vertical="top" wrapText="1"/>
    </xf>
    <xf numFmtId="49" fontId="38" fillId="0" borderId="13" xfId="0" applyNumberFormat="1" applyFont="1" applyBorder="1" applyAlignment="1">
      <alignment vertical="top" wrapText="1"/>
    </xf>
    <xf numFmtId="49" fontId="39" fillId="0" borderId="0" xfId="0" applyNumberFormat="1" applyFont="1" applyAlignment="1">
      <alignment horizontal="center" vertical="top" wrapText="1"/>
    </xf>
    <xf numFmtId="0" fontId="38" fillId="0" borderId="3" xfId="0" applyNumberFormat="1" applyFont="1" applyBorder="1" applyAlignment="1">
      <alignment horizontal="left" vertical="center" wrapText="1" indent="1"/>
    </xf>
    <xf numFmtId="185" fontId="8" fillId="0" borderId="30" xfId="0" applyNumberFormat="1" applyFont="1" applyBorder="1" applyAlignment="1">
      <alignment horizontal="right" vertical="center" wrapText="1"/>
    </xf>
    <xf numFmtId="49" fontId="38" fillId="0" borderId="31" xfId="0" applyNumberFormat="1" applyFont="1" applyBorder="1" applyAlignment="1">
      <alignment vertical="top" wrapText="1"/>
    </xf>
    <xf numFmtId="49" fontId="38" fillId="0" borderId="31" xfId="0" applyNumberFormat="1" applyFont="1" applyBorder="1" applyAlignment="1">
      <alignment horizontal="left" vertical="center" indent="1"/>
    </xf>
    <xf numFmtId="49" fontId="23" fillId="12" borderId="7" xfId="0" applyNumberFormat="1" applyFont="1" applyFill="1" applyBorder="1" applyAlignment="1">
      <alignment vertical="top" wrapText="1"/>
    </xf>
    <xf numFmtId="49" fontId="0" fillId="13" borderId="4" xfId="0" applyNumberFormat="1" applyFont="1" applyFill="1" applyBorder="1" applyProtection="1">
      <alignment vertical="top"/>
      <protection locked="0"/>
    </xf>
    <xf numFmtId="49" fontId="40" fillId="0" borderId="0" xfId="0" applyNumberFormat="1" applyFont="1" applyAlignment="1">
      <alignment horizontal="center" vertical="top" wrapText="1"/>
    </xf>
    <xf numFmtId="0" fontId="23" fillId="10" borderId="3" xfId="0" applyNumberFormat="1" applyFont="1" applyFill="1" applyBorder="1" applyAlignment="1">
      <alignment horizontal="left" vertical="center" wrapText="1" indent="1"/>
    </xf>
    <xf numFmtId="185" fontId="4" fillId="13" borderId="30" xfId="0" applyNumberFormat="1" applyFont="1" applyFill="1" applyBorder="1" applyAlignment="1" applyProtection="1">
      <alignment horizontal="right" vertical="center" wrapText="1"/>
      <protection locked="0"/>
    </xf>
    <xf numFmtId="185" fontId="4" fillId="13" borderId="32" xfId="0" applyNumberFormat="1" applyFont="1" applyFill="1" applyBorder="1" applyAlignment="1" applyProtection="1">
      <alignment horizontal="right" vertical="center" wrapText="1"/>
      <protection locked="0"/>
    </xf>
    <xf numFmtId="49" fontId="0" fillId="13" borderId="11" xfId="0" applyNumberFormat="1" applyFont="1" applyFill="1" applyBorder="1" applyProtection="1">
      <alignment vertical="top"/>
      <protection locked="0"/>
    </xf>
    <xf numFmtId="49" fontId="40" fillId="0" borderId="10" xfId="0" applyNumberFormat="1" applyFont="1" applyBorder="1" applyAlignment="1">
      <alignment horizontal="center" vertical="top" wrapText="1"/>
    </xf>
    <xf numFmtId="187" fontId="4" fillId="13" borderId="3" xfId="0" applyNumberFormat="1" applyFont="1" applyFill="1" applyBorder="1" applyAlignment="1" applyProtection="1">
      <alignment horizontal="center" vertical="center" wrapText="1"/>
      <protection locked="0"/>
    </xf>
    <xf numFmtId="49" fontId="23" fillId="12" borderId="13" xfId="0" applyNumberFormat="1" applyFont="1" applyFill="1" applyBorder="1" applyAlignment="1">
      <alignment vertical="top" wrapText="1"/>
    </xf>
    <xf numFmtId="49" fontId="23" fillId="12" borderId="31" xfId="0" applyNumberFormat="1" applyFont="1" applyFill="1" applyBorder="1" applyAlignment="1">
      <alignment vertical="top" wrapText="1"/>
    </xf>
    <xf numFmtId="49" fontId="41" fillId="12" borderId="31" xfId="0" applyNumberFormat="1" applyFont="1" applyFill="1" applyBorder="1" applyAlignment="1">
      <alignment horizontal="left" vertical="center" indent="1"/>
    </xf>
    <xf numFmtId="0" fontId="8" fillId="0" borderId="0" xfId="0" applyNumberFormat="1" applyFont="1" applyAlignment="1">
      <alignment horizontal="center" vertical="top"/>
    </xf>
    <xf numFmtId="0" fontId="8" fillId="0" borderId="0" xfId="0" applyNumberFormat="1" applyFont="1">
      <alignment vertical="top"/>
    </xf>
    <xf numFmtId="0" fontId="4" fillId="0" borderId="16" xfId="0" applyNumberFormat="1" applyFont="1" applyBorder="1" applyAlignment="1">
      <alignment vertical="center" wrapText="1"/>
    </xf>
    <xf numFmtId="186" fontId="4" fillId="10" borderId="10" xfId="0" applyNumberFormat="1" applyFont="1" applyFill="1" applyBorder="1" applyAlignment="1">
      <alignment horizontal="left" vertical="center" wrapText="1" indent="1"/>
    </xf>
    <xf numFmtId="186" fontId="4" fillId="10" borderId="16" xfId="0" applyNumberFormat="1" applyFont="1" applyFill="1" applyBorder="1" applyAlignment="1">
      <alignment horizontal="left" vertical="center" wrapText="1" indent="1"/>
    </xf>
    <xf numFmtId="49" fontId="4" fillId="10" borderId="6" xfId="0" applyNumberFormat="1" applyFont="1" applyFill="1" applyBorder="1" applyAlignment="1">
      <alignment horizontal="center" vertical="center" wrapText="1"/>
    </xf>
    <xf numFmtId="0" fontId="34" fillId="0" borderId="0" xfId="0" applyNumberFormat="1" applyFont="1">
      <alignment vertical="top"/>
    </xf>
    <xf numFmtId="0" fontId="42" fillId="0" borderId="0" xfId="0" applyNumberFormat="1" applyFont="1">
      <alignment vertical="top"/>
    </xf>
    <xf numFmtId="0" fontId="4" fillId="0" borderId="7" xfId="0" applyNumberFormat="1" applyFont="1" applyBorder="1" applyAlignment="1">
      <alignment horizontal="right" vertical="center"/>
    </xf>
    <xf numFmtId="0" fontId="4" fillId="0" borderId="13" xfId="0" applyNumberFormat="1" applyFont="1" applyBorder="1" applyAlignment="1">
      <alignment horizontal="right" vertical="center"/>
    </xf>
    <xf numFmtId="0" fontId="4" fillId="0" borderId="3" xfId="0" applyNumberFormat="1" applyFont="1" applyBorder="1" applyAlignment="1">
      <alignment horizontal="right" vertical="center"/>
    </xf>
    <xf numFmtId="49" fontId="4" fillId="0" borderId="0" xfId="0" applyNumberFormat="1" applyFont="1" applyAlignment="1">
      <alignment vertical="center"/>
    </xf>
    <xf numFmtId="49" fontId="17" fillId="16" borderId="13" xfId="0" applyNumberFormat="1" applyFont="1" applyFill="1" applyBorder="1" applyAlignment="1">
      <alignment horizontal="left" vertical="center" indent="1"/>
    </xf>
    <xf numFmtId="49" fontId="23" fillId="0" borderId="0" xfId="0" applyNumberFormat="1" applyFont="1">
      <alignment vertical="top"/>
    </xf>
    <xf numFmtId="0" fontId="10" fillId="0" borderId="11" xfId="0" applyNumberFormat="1" applyFont="1" applyBorder="1" applyAlignment="1">
      <alignment vertical="center" wrapText="1"/>
    </xf>
    <xf numFmtId="49" fontId="10" fillId="0" borderId="6" xfId="0" applyNumberFormat="1" applyFont="1" applyBorder="1" applyAlignment="1">
      <alignment horizontal="left" vertical="center"/>
    </xf>
    <xf numFmtId="49" fontId="10" fillId="0" borderId="7" xfId="0" applyNumberFormat="1" applyFont="1" applyBorder="1" applyAlignment="1">
      <alignment horizontal="left" vertical="center" indent="1"/>
    </xf>
    <xf numFmtId="49" fontId="10" fillId="0" borderId="7" xfId="0" applyNumberFormat="1" applyFont="1" applyBorder="1" applyAlignment="1">
      <alignment horizontal="left" vertical="center"/>
    </xf>
    <xf numFmtId="49" fontId="0" fillId="0" borderId="8" xfId="0" applyNumberFormat="1" applyFont="1" applyBorder="1">
      <alignment vertical="top"/>
    </xf>
    <xf numFmtId="49" fontId="11" fillId="0" borderId="4" xfId="0" applyNumberFormat="1" applyFont="1" applyBorder="1" applyAlignment="1">
      <alignment horizontal="center" vertical="top" wrapText="1"/>
    </xf>
    <xf numFmtId="49" fontId="4" fillId="13" borderId="6" xfId="0" applyNumberFormat="1" applyFont="1" applyFill="1" applyBorder="1" applyAlignment="1" applyProtection="1">
      <alignment horizontal="left" vertical="center" wrapText="1" indent="1"/>
      <protection locked="0"/>
    </xf>
    <xf numFmtId="49" fontId="4" fillId="0" borderId="11" xfId="0" applyNumberFormat="1" applyFont="1" applyBorder="1" applyAlignment="1">
      <alignment horizontal="center" vertical="top" wrapText="1"/>
    </xf>
    <xf numFmtId="49" fontId="4" fillId="13" borderId="3" xfId="0" applyNumberFormat="1" applyFont="1" applyFill="1" applyBorder="1" applyAlignment="1" applyProtection="1">
      <alignment horizontal="left" vertical="center" wrapText="1" indent="1"/>
      <protection locked="0"/>
    </xf>
    <xf numFmtId="49" fontId="0" fillId="12" borderId="15" xfId="0" applyNumberFormat="1" applyFont="1" applyFill="1" applyBorder="1" applyAlignment="1">
      <alignment horizontal="center" vertical="center"/>
    </xf>
    <xf numFmtId="49" fontId="0" fillId="0" borderId="16"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3" xfId="0" applyNumberFormat="1" applyFont="1" applyBorder="1" applyAlignment="1">
      <alignment horizontal="center" vertical="center"/>
    </xf>
    <xf numFmtId="0" fontId="4" fillId="0" borderId="3" xfId="0" applyNumberFormat="1" applyFont="1" applyBorder="1" applyAlignment="1">
      <alignment horizontal="left" vertical="top" wrapText="1"/>
    </xf>
    <xf numFmtId="0" fontId="4" fillId="10" borderId="4" xfId="0" applyNumberFormat="1" applyFont="1" applyFill="1" applyBorder="1" applyAlignment="1">
      <alignment horizontal="center" vertical="top" wrapText="1"/>
    </xf>
    <xf numFmtId="0" fontId="4" fillId="10" borderId="3" xfId="0" applyNumberFormat="1" applyFont="1" applyFill="1" applyBorder="1" applyAlignment="1">
      <alignment horizontal="left" vertical="top" wrapText="1"/>
    </xf>
    <xf numFmtId="0" fontId="4" fillId="10" borderId="10" xfId="0" applyNumberFormat="1" applyFont="1" applyFill="1" applyBorder="1" applyAlignment="1">
      <alignment horizontal="center" vertical="top" wrapText="1"/>
    </xf>
    <xf numFmtId="49" fontId="0" fillId="0" borderId="3" xfId="0" applyNumberFormat="1" applyFont="1" applyBorder="1" applyAlignment="1">
      <alignment horizontal="left" vertical="top"/>
    </xf>
    <xf numFmtId="49" fontId="0" fillId="10" borderId="3" xfId="0" applyNumberFormat="1" applyFont="1" applyFill="1" applyBorder="1" applyAlignment="1">
      <alignment horizontal="left" vertical="top"/>
    </xf>
    <xf numFmtId="0" fontId="4" fillId="10" borderId="11" xfId="0" applyNumberFormat="1" applyFont="1" applyFill="1" applyBorder="1" applyAlignment="1">
      <alignment horizontal="center" vertical="top" wrapText="1"/>
    </xf>
    <xf numFmtId="0" fontId="17" fillId="12" borderId="6" xfId="0" applyNumberFormat="1" applyFont="1" applyFill="1" applyBorder="1" applyAlignment="1">
      <alignment horizontal="left" vertical="center"/>
    </xf>
    <xf numFmtId="49" fontId="0" fillId="0" borderId="10" xfId="0" applyNumberFormat="1" applyFont="1" applyBorder="1" applyAlignment="1">
      <alignment horizontal="left" vertical="top"/>
    </xf>
    <xf numFmtId="49" fontId="0" fillId="10" borderId="10" xfId="0" applyNumberFormat="1" applyFont="1" applyFill="1" applyBorder="1" applyAlignment="1">
      <alignment horizontal="left" vertical="top"/>
    </xf>
    <xf numFmtId="0" fontId="17" fillId="0" borderId="10" xfId="0" applyNumberFormat="1" applyFont="1" applyBorder="1" applyAlignment="1">
      <alignment horizontal="left" vertical="center"/>
    </xf>
    <xf numFmtId="49" fontId="0" fillId="0" borderId="13" xfId="0" applyNumberFormat="1" applyFont="1" applyBorder="1" applyAlignment="1">
      <alignment horizontal="center" vertical="center" wrapText="1"/>
    </xf>
    <xf numFmtId="0"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xf>
    <xf numFmtId="0" fontId="0" fillId="0" borderId="4" xfId="0" applyNumberFormat="1" applyFont="1" applyBorder="1" applyAlignment="1">
      <alignment horizontal="center" vertical="center" wrapText="1"/>
    </xf>
    <xf numFmtId="0" fontId="0" fillId="13" borderId="3" xfId="0" applyNumberFormat="1" applyFont="1" applyFill="1" applyBorder="1" applyAlignment="1" applyProtection="1">
      <alignment horizontal="left" vertical="center" wrapText="1"/>
      <protection locked="0"/>
    </xf>
    <xf numFmtId="49" fontId="0" fillId="13" borderId="6"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vertical="center" wrapText="1"/>
    </xf>
    <xf numFmtId="49" fontId="0" fillId="0" borderId="17" xfId="0" applyNumberFormat="1" applyFont="1" applyBorder="1" applyAlignment="1">
      <alignment horizontal="center" vertical="center" wrapText="1"/>
    </xf>
    <xf numFmtId="49" fontId="0" fillId="12" borderId="7" xfId="0" applyNumberFormat="1" applyFont="1" applyFill="1" applyBorder="1" applyAlignment="1">
      <alignment horizontal="center" vertical="center"/>
    </xf>
    <xf numFmtId="49" fontId="4" fillId="10" borderId="4" xfId="0" applyNumberFormat="1" applyFont="1" applyFill="1" applyBorder="1" applyAlignment="1">
      <alignment horizontal="center" vertical="center" wrapText="1"/>
    </xf>
    <xf numFmtId="0" fontId="0" fillId="10" borderId="3" xfId="0" applyNumberFormat="1" applyFont="1" applyFill="1" applyBorder="1" applyAlignment="1">
      <alignment horizontal="left" vertical="center" wrapText="1"/>
    </xf>
    <xf numFmtId="49" fontId="4" fillId="10" borderId="10" xfId="0" applyNumberFormat="1" applyFont="1" applyFill="1" applyBorder="1" applyAlignment="1">
      <alignment horizontal="center" vertical="center" wrapText="1"/>
    </xf>
    <xf numFmtId="49" fontId="0" fillId="11" borderId="3" xfId="0" applyNumberFormat="1" applyFont="1" applyFill="1" applyBorder="1" applyAlignment="1" applyProtection="1">
      <alignment horizontal="left" vertical="top"/>
      <protection locked="0"/>
    </xf>
    <xf numFmtId="49" fontId="0" fillId="10" borderId="3" xfId="0" applyNumberFormat="1" applyFont="1" applyFill="1" applyBorder="1" applyAlignment="1">
      <alignment horizontal="left" vertical="center" wrapText="1"/>
    </xf>
    <xf numFmtId="49" fontId="4" fillId="10" borderId="11" xfId="0" applyNumberFormat="1" applyFont="1" applyFill="1" applyBorder="1" applyAlignment="1">
      <alignment horizontal="center" vertical="center" wrapText="1"/>
    </xf>
    <xf numFmtId="0" fontId="17" fillId="12" borderId="7" xfId="0" applyNumberFormat="1" applyFont="1" applyFill="1" applyBorder="1" applyAlignment="1">
      <alignment horizontal="left" vertical="center"/>
    </xf>
    <xf numFmtId="49" fontId="0" fillId="11" borderId="10" xfId="0" applyNumberFormat="1" applyFont="1" applyFill="1" applyBorder="1" applyAlignment="1" applyProtection="1">
      <alignment horizontal="left" vertical="top"/>
      <protection locked="0"/>
    </xf>
    <xf numFmtId="49" fontId="4" fillId="10" borderId="0" xfId="0" applyNumberFormat="1" applyFont="1" applyFill="1" applyAlignment="1">
      <alignment horizontal="center" vertical="center" wrapText="1"/>
    </xf>
    <xf numFmtId="49" fontId="0" fillId="10" borderId="10" xfId="0" applyNumberFormat="1" applyFont="1" applyFill="1" applyBorder="1" applyAlignment="1">
      <alignment horizontal="left" vertical="center" wrapText="1"/>
    </xf>
    <xf numFmtId="0" fontId="17" fillId="11" borderId="10" xfId="0" applyNumberFormat="1" applyFont="1" applyFill="1" applyBorder="1" applyAlignment="1" applyProtection="1">
      <alignment horizontal="left" vertical="center"/>
      <protection locked="0"/>
    </xf>
    <xf numFmtId="49" fontId="0" fillId="11" borderId="10" xfId="0" applyNumberFormat="1" applyFont="1" applyFill="1" applyBorder="1" applyProtection="1">
      <alignment vertical="top"/>
      <protection locked="0"/>
    </xf>
    <xf numFmtId="185" fontId="10" fillId="0" borderId="3" xfId="0" applyNumberFormat="1" applyFont="1" applyBorder="1" applyAlignment="1">
      <alignment horizontal="right" vertical="center" wrapText="1"/>
    </xf>
    <xf numFmtId="2" fontId="10" fillId="0" borderId="11" xfId="0" applyNumberFormat="1" applyFont="1" applyBorder="1" applyAlignment="1">
      <alignment horizontal="center" vertical="center" wrapText="1"/>
    </xf>
    <xf numFmtId="49" fontId="10" fillId="0" borderId="13" xfId="0" applyNumberFormat="1" applyFont="1" applyBorder="1" applyAlignment="1">
      <alignment horizontal="left" vertical="center" indent="1"/>
    </xf>
    <xf numFmtId="0" fontId="10" fillId="0" borderId="3" xfId="0" applyNumberFormat="1" applyFont="1" applyBorder="1" applyAlignment="1">
      <alignment horizontal="left" vertical="center" indent="1"/>
    </xf>
    <xf numFmtId="185" fontId="0" fillId="2" borderId="3" xfId="0" applyNumberFormat="1" applyFont="1" applyFill="1" applyBorder="1" applyAlignment="1">
      <alignment horizontal="right" vertical="center" wrapText="1"/>
    </xf>
    <xf numFmtId="185" fontId="8" fillId="0" borderId="3" xfId="0" applyNumberFormat="1" applyFont="1" applyBorder="1" applyAlignment="1">
      <alignment horizontal="right" vertical="center" wrapText="1"/>
    </xf>
    <xf numFmtId="0" fontId="17" fillId="12" borderId="13" xfId="0" applyNumberFormat="1" applyFont="1" applyFill="1" applyBorder="1" applyAlignment="1">
      <alignment horizontal="left" vertical="center"/>
    </xf>
    <xf numFmtId="0" fontId="0" fillId="12" borderId="7" xfId="0" applyNumberFormat="1" applyFont="1" applyFill="1" applyBorder="1" applyAlignment="1">
      <alignment vertical="center"/>
    </xf>
    <xf numFmtId="0" fontId="17" fillId="13" borderId="10" xfId="0" applyNumberFormat="1" applyFont="1" applyFill="1" applyBorder="1" applyAlignment="1" applyProtection="1">
      <alignment horizontal="left" vertical="center"/>
      <protection locked="0"/>
    </xf>
    <xf numFmtId="49" fontId="10" fillId="0" borderId="3" xfId="0" applyNumberFormat="1" applyFont="1" applyBorder="1" applyAlignment="1">
      <alignment horizontal="center" vertical="center" wrapText="1"/>
    </xf>
    <xf numFmtId="49" fontId="10" fillId="0" borderId="6" xfId="0" applyNumberFormat="1" applyFont="1" applyBorder="1" applyAlignment="1">
      <alignment horizontal="left" vertical="center" wrapText="1"/>
    </xf>
    <xf numFmtId="0" fontId="10" fillId="0" borderId="6" xfId="0" applyNumberFormat="1" applyFont="1" applyBorder="1" applyAlignment="1">
      <alignment horizontal="left" vertical="center"/>
    </xf>
    <xf numFmtId="0" fontId="10" fillId="0" borderId="7" xfId="0" applyNumberFormat="1" applyFont="1" applyBorder="1" applyAlignment="1">
      <alignment horizontal="left" vertical="center"/>
    </xf>
    <xf numFmtId="0" fontId="17" fillId="12" borderId="17" xfId="0" applyNumberFormat="1" applyFont="1" applyFill="1" applyBorder="1" applyAlignment="1">
      <alignment horizontal="left" vertical="center"/>
    </xf>
    <xf numFmtId="0" fontId="10" fillId="0" borderId="0" xfId="0" applyNumberFormat="1" applyFont="1" applyAlignment="1">
      <alignment horizontal="center" vertical="top"/>
    </xf>
    <xf numFmtId="0" fontId="4" fillId="0" borderId="0" xfId="0" applyNumberFormat="1" applyFont="1" applyAlignment="1">
      <alignment horizontal="left" vertical="center" indent="1"/>
    </xf>
    <xf numFmtId="0" fontId="4" fillId="0" borderId="0" xfId="0" applyNumberFormat="1" applyFont="1" applyAlignment="1">
      <alignment vertical="center"/>
    </xf>
    <xf numFmtId="0" fontId="0" fillId="0" borderId="0" xfId="0" applyNumberFormat="1" applyFont="1" applyAlignment="1">
      <alignment horizontal="left" vertical="center" indent="1"/>
    </xf>
    <xf numFmtId="0" fontId="0" fillId="0" borderId="14" xfId="0" applyNumberFormat="1" applyFont="1" applyBorder="1" applyAlignment="1">
      <alignment horizontal="center" vertical="center"/>
    </xf>
    <xf numFmtId="0" fontId="0" fillId="0" borderId="16" xfId="0" applyNumberFormat="1" applyFont="1" applyBorder="1" applyAlignment="1">
      <alignment horizontal="center" vertical="center"/>
    </xf>
    <xf numFmtId="0" fontId="17" fillId="0" borderId="15" xfId="0" applyNumberFormat="1" applyFont="1" applyBorder="1" applyAlignment="1">
      <alignment horizontal="left" vertical="center"/>
    </xf>
    <xf numFmtId="49" fontId="4" fillId="0" borderId="10" xfId="0" applyNumberFormat="1" applyFont="1" applyBorder="1" applyAlignment="1">
      <alignment horizontal="center" vertical="center"/>
    </xf>
    <xf numFmtId="49" fontId="4" fillId="0" borderId="10" xfId="0" applyNumberFormat="1" applyFont="1" applyBorder="1" applyAlignment="1">
      <alignment vertical="center" wrapText="1"/>
    </xf>
    <xf numFmtId="49" fontId="21" fillId="12" borderId="6" xfId="0" applyNumberFormat="1" applyFont="1" applyFill="1" applyBorder="1">
      <alignment vertical="top"/>
    </xf>
    <xf numFmtId="49" fontId="4" fillId="0" borderId="14" xfId="0" applyNumberFormat="1" applyFont="1" applyBorder="1" applyAlignment="1">
      <alignment vertical="center" wrapText="1"/>
    </xf>
    <xf numFmtId="49" fontId="4" fillId="0" borderId="16" xfId="0" applyNumberFormat="1" applyFont="1" applyBorder="1" applyAlignment="1">
      <alignment vertical="center" wrapText="1"/>
    </xf>
    <xf numFmtId="0" fontId="17" fillId="0" borderId="16" xfId="0" applyNumberFormat="1" applyFont="1" applyBorder="1" applyAlignment="1">
      <alignment horizontal="left" vertical="center"/>
    </xf>
    <xf numFmtId="0" fontId="4" fillId="0" borderId="6" xfId="0" applyNumberFormat="1" applyFont="1" applyBorder="1" applyAlignment="1">
      <alignment horizontal="left" vertical="center" wrapText="1"/>
    </xf>
    <xf numFmtId="49" fontId="21" fillId="0" borderId="15" xfId="0" applyNumberFormat="1" applyFont="1" applyBorder="1">
      <alignment vertical="top"/>
    </xf>
    <xf numFmtId="0" fontId="0" fillId="0" borderId="8" xfId="0" applyNumberFormat="1" applyFont="1" applyBorder="1" applyAlignment="1">
      <alignment horizontal="center" vertical="center"/>
    </xf>
    <xf numFmtId="49" fontId="4" fillId="0" borderId="8" xfId="0" applyNumberFormat="1" applyFont="1" applyBorder="1" applyAlignment="1">
      <alignment horizontal="left" vertical="center" wrapText="1"/>
    </xf>
    <xf numFmtId="49" fontId="4" fillId="0" borderId="8" xfId="0" applyNumberFormat="1" applyFont="1" applyBorder="1" applyAlignment="1">
      <alignment horizontal="center" vertical="center" wrapText="1"/>
    </xf>
    <xf numFmtId="0" fontId="0" fillId="0" borderId="8" xfId="0" applyNumberFormat="1" applyFont="1" applyBorder="1" applyAlignment="1">
      <alignment horizontal="left" vertical="center" wrapText="1"/>
    </xf>
    <xf numFmtId="0" fontId="0" fillId="0" borderId="0" xfId="0" applyNumberFormat="1" applyFont="1" applyAlignment="1">
      <alignment horizontal="center" vertical="center"/>
    </xf>
    <xf numFmtId="49" fontId="4" fillId="0" borderId="0" xfId="0" applyNumberFormat="1" applyFont="1" applyAlignment="1">
      <alignment horizontal="left" vertical="center" wrapText="1"/>
    </xf>
    <xf numFmtId="49" fontId="4" fillId="0" borderId="0" xfId="0" applyNumberFormat="1" applyFont="1" applyAlignment="1">
      <alignment horizontal="center"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0" fontId="17" fillId="0" borderId="0" xfId="0" applyNumberFormat="1" applyFont="1" applyAlignment="1">
      <alignment horizontal="left" vertical="center"/>
    </xf>
    <xf numFmtId="0" fontId="17" fillId="0" borderId="9" xfId="0" applyNumberFormat="1" applyFont="1" applyBorder="1" applyAlignment="1">
      <alignment horizontal="left" vertical="center"/>
    </xf>
    <xf numFmtId="0" fontId="4" fillId="0" borderId="12" xfId="0" applyNumberFormat="1" applyFont="1" applyBorder="1" applyAlignment="1">
      <alignment horizontal="center" vertical="center"/>
    </xf>
    <xf numFmtId="49" fontId="4" fillId="0" borderId="4" xfId="0" applyNumberFormat="1" applyFont="1" applyBorder="1" applyAlignment="1">
      <alignment horizontal="left" vertical="center" wrapText="1"/>
    </xf>
    <xf numFmtId="0" fontId="4" fillId="0" borderId="10" xfId="0" applyNumberFormat="1" applyFont="1" applyBorder="1" applyAlignment="1">
      <alignment horizontal="left" vertical="center" wrapText="1"/>
    </xf>
    <xf numFmtId="49" fontId="4" fillId="13" borderId="4" xfId="0" applyNumberFormat="1" applyFont="1" applyFill="1" applyBorder="1" applyAlignment="1" applyProtection="1">
      <alignment horizontal="left" vertical="center" wrapText="1"/>
      <protection locked="0"/>
    </xf>
    <xf numFmtId="49" fontId="4" fillId="11" borderId="4" xfId="0" applyNumberFormat="1" applyFont="1" applyFill="1" applyBorder="1" applyAlignment="1" applyProtection="1">
      <alignment horizontal="left" vertical="center" wrapText="1"/>
      <protection locked="0"/>
    </xf>
    <xf numFmtId="0" fontId="17" fillId="12" borderId="14" xfId="0" applyNumberFormat="1" applyFont="1" applyFill="1" applyBorder="1" applyAlignment="1">
      <alignment horizontal="left" vertical="center"/>
    </xf>
    <xf numFmtId="49" fontId="21" fillId="12" borderId="7" xfId="0" applyNumberFormat="1" applyFont="1" applyFill="1" applyBorder="1">
      <alignment vertical="top"/>
    </xf>
    <xf numFmtId="0" fontId="4" fillId="0" borderId="8" xfId="0" applyNumberFormat="1" applyFont="1" applyBorder="1" applyAlignment="1">
      <alignment horizontal="center" vertical="center"/>
    </xf>
    <xf numFmtId="49" fontId="4" fillId="0" borderId="8" xfId="0" applyNumberFormat="1" applyFont="1" applyBorder="1" applyAlignment="1">
      <alignment vertical="center" wrapText="1"/>
    </xf>
    <xf numFmtId="0" fontId="4" fillId="0" borderId="0" xfId="0" applyNumberFormat="1" applyFont="1" applyAlignment="1">
      <alignment horizontal="center" vertical="center"/>
    </xf>
    <xf numFmtId="49" fontId="21" fillId="0" borderId="9" xfId="0" applyNumberFormat="1" applyFont="1" applyBorder="1">
      <alignment vertical="top"/>
    </xf>
    <xf numFmtId="49" fontId="0" fillId="0" borderId="8" xfId="0" applyNumberFormat="1" applyFont="1" applyBorder="1" applyAlignment="1">
      <alignment horizontal="left" vertical="center" wrapText="1"/>
    </xf>
    <xf numFmtId="49" fontId="4" fillId="0" borderId="33" xfId="0" applyNumberFormat="1" applyFont="1" applyBorder="1" applyAlignment="1">
      <alignment horizontal="left" vertical="center" wrapText="1"/>
    </xf>
    <xf numFmtId="0" fontId="17" fillId="0" borderId="12" xfId="0" applyNumberFormat="1" applyFont="1" applyBorder="1" applyAlignment="1">
      <alignment horizontal="left" vertical="center"/>
    </xf>
    <xf numFmtId="0" fontId="0" fillId="0" borderId="9" xfId="0" applyNumberFormat="1" applyFont="1" applyBorder="1" applyAlignment="1">
      <alignment vertical="center"/>
    </xf>
    <xf numFmtId="0" fontId="17" fillId="0" borderId="17" xfId="0" applyNumberFormat="1" applyFont="1" applyBorder="1" applyAlignment="1">
      <alignment horizontal="left" vertical="center"/>
    </xf>
    <xf numFmtId="49" fontId="11" fillId="0" borderId="10" xfId="0" applyNumberFormat="1" applyFont="1" applyBorder="1" applyAlignment="1">
      <alignment vertical="center" wrapText="1"/>
    </xf>
    <xf numFmtId="0" fontId="4" fillId="10" borderId="4" xfId="0" applyNumberFormat="1" applyFont="1" applyFill="1" applyBorder="1" applyAlignment="1">
      <alignment horizontal="left" vertical="center" wrapText="1"/>
    </xf>
    <xf numFmtId="49" fontId="4" fillId="0" borderId="10" xfId="0" applyNumberFormat="1" applyFont="1" applyBorder="1" applyAlignment="1">
      <alignment horizontal="left" vertical="center" wrapText="1"/>
    </xf>
    <xf numFmtId="0" fontId="4" fillId="10" borderId="10" xfId="0" applyNumberFormat="1" applyFont="1" applyFill="1" applyBorder="1" applyAlignment="1">
      <alignment horizontal="left" vertical="center" wrapText="1"/>
    </xf>
    <xf numFmtId="49" fontId="11" fillId="0" borderId="10" xfId="0" applyNumberFormat="1" applyFont="1" applyBorder="1" applyAlignment="1">
      <alignment horizontal="center" vertical="center" wrapText="1"/>
    </xf>
    <xf numFmtId="0" fontId="17" fillId="12" borderId="14" xfId="0" applyNumberFormat="1" applyFont="1" applyFill="1" applyBorder="1" applyAlignment="1">
      <alignment vertical="center"/>
    </xf>
    <xf numFmtId="49" fontId="11" fillId="0" borderId="8" xfId="0" applyNumberFormat="1" applyFont="1" applyBorder="1" applyAlignment="1">
      <alignment vertical="center" wrapText="1"/>
    </xf>
    <xf numFmtId="49" fontId="11" fillId="0" borderId="0" xfId="0" applyNumberFormat="1" applyFont="1" applyAlignment="1">
      <alignment vertical="center" wrapText="1"/>
    </xf>
    <xf numFmtId="0" fontId="17" fillId="0" borderId="0" xfId="0" applyNumberFormat="1" applyFont="1" applyAlignment="1">
      <alignment vertical="center"/>
    </xf>
    <xf numFmtId="49" fontId="4" fillId="10" borderId="4" xfId="0" applyNumberFormat="1" applyFont="1" applyFill="1" applyBorder="1" applyAlignment="1">
      <alignment horizontal="left" vertical="center" wrapText="1"/>
    </xf>
    <xf numFmtId="0" fontId="4" fillId="0" borderId="4" xfId="0" applyNumberFormat="1" applyFont="1" applyBorder="1" applyAlignment="1">
      <alignment horizontal="left" vertical="center" wrapText="1"/>
    </xf>
    <xf numFmtId="49" fontId="4" fillId="10" borderId="11" xfId="0" applyNumberFormat="1" applyFont="1" applyFill="1" applyBorder="1" applyAlignment="1">
      <alignment horizontal="left" vertical="center" wrapText="1"/>
    </xf>
    <xf numFmtId="0" fontId="17" fillId="0" borderId="11" xfId="0" applyNumberFormat="1" applyFont="1" applyBorder="1" applyAlignment="1">
      <alignment horizontal="left" vertical="center"/>
    </xf>
    <xf numFmtId="0" fontId="17" fillId="12" borderId="8" xfId="0" applyNumberFormat="1" applyFont="1" applyFill="1" applyBorder="1" applyAlignment="1">
      <alignment horizontal="left" vertical="center"/>
    </xf>
    <xf numFmtId="0" fontId="4" fillId="0" borderId="8" xfId="0" applyNumberFormat="1" applyFont="1" applyBorder="1" applyAlignment="1">
      <alignment horizontal="left" vertical="center" wrapText="1"/>
    </xf>
    <xf numFmtId="0" fontId="17" fillId="12" borderId="33" xfId="0" applyNumberFormat="1" applyFont="1" applyFill="1" applyBorder="1" applyAlignment="1">
      <alignment horizontal="left" vertical="center"/>
    </xf>
    <xf numFmtId="49" fontId="0" fillId="0" borderId="7" xfId="0" applyNumberFormat="1" applyFont="1" applyBorder="1" applyAlignment="1">
      <alignment horizontal="left" vertical="center" indent="1"/>
    </xf>
    <xf numFmtId="49" fontId="29" fillId="0" borderId="0" xfId="0" applyNumberFormat="1" applyFont="1">
      <alignment vertical="top"/>
    </xf>
    <xf numFmtId="49" fontId="0" fillId="0" borderId="34" xfId="0" applyNumberFormat="1" applyFont="1" applyBorder="1" applyAlignment="1">
      <alignment horizontal="center" vertical="center"/>
    </xf>
    <xf numFmtId="0" fontId="11" fillId="0" borderId="0" xfId="0" applyNumberFormat="1" applyFont="1" applyAlignment="1">
      <alignment horizontal="center" vertical="center"/>
    </xf>
    <xf numFmtId="0" fontId="11" fillId="3" borderId="0" xfId="0" applyNumberFormat="1" applyFont="1" applyFill="1" applyAlignment="1">
      <alignment horizontal="center" vertical="center"/>
    </xf>
    <xf numFmtId="0" fontId="4" fillId="3" borderId="0" xfId="0" applyNumberFormat="1" applyFont="1" applyFill="1" applyAlignment="1"/>
    <xf numFmtId="0" fontId="4" fillId="0" borderId="7" xfId="0" applyNumberFormat="1" applyFont="1" applyBorder="1" applyAlignment="1">
      <alignment horizontal="left" vertical="center" wrapText="1" indent="1"/>
    </xf>
    <xf numFmtId="0" fontId="43" fillId="0" borderId="0" xfId="0" applyNumberFormat="1" applyFont="1" applyAlignment="1"/>
    <xf numFmtId="49" fontId="27" fillId="3" borderId="0" xfId="0" applyNumberFormat="1" applyFont="1" applyFill="1" applyAlignment="1">
      <alignment horizontal="center" vertical="center" wrapText="1"/>
    </xf>
    <xf numFmtId="49" fontId="17" fillId="12" borderId="13" xfId="0" applyNumberFormat="1" applyFont="1" applyFill="1" applyBorder="1" applyAlignment="1">
      <alignment horizontal="left" vertical="center"/>
    </xf>
    <xf numFmtId="0" fontId="4" fillId="0" borderId="6" xfId="0" applyNumberFormat="1" applyFont="1" applyBorder="1" applyAlignment="1">
      <alignment horizontal="left" vertical="center" wrapText="1" indent="1"/>
    </xf>
    <xf numFmtId="0" fontId="4" fillId="3" borderId="4" xfId="0" applyNumberFormat="1" applyFont="1" applyFill="1" applyBorder="1" applyAlignment="1">
      <alignment horizontal="center" vertical="center"/>
    </xf>
    <xf numFmtId="49" fontId="3" fillId="12" borderId="6" xfId="0" applyNumberFormat="1" applyFont="1" applyFill="1" applyBorder="1" applyAlignment="1">
      <alignment horizontal="center" vertical="center"/>
    </xf>
    <xf numFmtId="49" fontId="23" fillId="0" borderId="0" xfId="0" applyNumberFormat="1" applyFont="1" applyAlignment="1">
      <alignment horizontal="right" vertical="top"/>
    </xf>
    <xf numFmtId="49" fontId="4" fillId="0" borderId="0" xfId="0" applyNumberFormat="1" applyFont="1" applyAlignment="1">
      <alignment horizontal="left" vertical="top" wrapText="1"/>
    </xf>
    <xf numFmtId="49" fontId="11" fillId="0" borderId="0" xfId="0" applyNumberFormat="1" applyFont="1" applyAlignment="1">
      <alignment horizontal="center" vertical="center"/>
    </xf>
    <xf numFmtId="0" fontId="20" fillId="0" borderId="0" xfId="0" applyNumberFormat="1" applyFont="1" applyAlignment="1">
      <alignment vertical="center" wrapText="1"/>
    </xf>
    <xf numFmtId="0" fontId="44" fillId="3" borderId="0" xfId="0" applyNumberFormat="1" applyFont="1" applyFill="1" applyAlignment="1">
      <alignment horizontal="center" vertical="center" wrapText="1"/>
    </xf>
    <xf numFmtId="0" fontId="16" fillId="3" borderId="0" xfId="0" applyNumberFormat="1" applyFont="1" applyFill="1" applyAlignment="1">
      <alignment horizontal="right" vertical="center"/>
    </xf>
    <xf numFmtId="49" fontId="45" fillId="13" borderId="3" xfId="0" applyNumberFormat="1" applyFont="1" applyFill="1" applyBorder="1" applyAlignment="1" applyProtection="1">
      <alignment horizontal="left" vertical="center" wrapText="1"/>
      <protection locked="0"/>
    </xf>
    <xf numFmtId="49" fontId="46" fillId="12" borderId="7" xfId="0" applyNumberFormat="1" applyFont="1" applyFill="1" applyBorder="1" applyAlignment="1">
      <alignment horizontal="center" vertical="top"/>
    </xf>
    <xf numFmtId="49" fontId="46" fillId="12" borderId="13" xfId="0" applyNumberFormat="1" applyFont="1" applyFill="1" applyBorder="1" applyAlignment="1">
      <alignment horizontal="center" vertical="top"/>
    </xf>
    <xf numFmtId="0" fontId="43" fillId="0" borderId="0" xfId="0" applyNumberFormat="1" applyFont="1" applyAlignment="1">
      <alignment vertical="center" wrapText="1"/>
    </xf>
    <xf numFmtId="0" fontId="20" fillId="3" borderId="0" xfId="0" applyNumberFormat="1" applyFont="1" applyFill="1" applyAlignment="1"/>
    <xf numFmtId="0" fontId="4" fillId="0" borderId="4" xfId="0" applyNumberFormat="1" applyFont="1" applyBorder="1" applyAlignment="1">
      <alignment horizontal="left" vertical="top" wrapText="1"/>
    </xf>
    <xf numFmtId="0" fontId="4" fillId="0" borderId="11" xfId="0" applyNumberFormat="1" applyFont="1" applyBorder="1" applyAlignment="1">
      <alignment horizontal="left" vertical="top" wrapText="1"/>
    </xf>
    <xf numFmtId="0" fontId="15" fillId="0" borderId="0" xfId="0" applyNumberFormat="1" applyFont="1" applyAlignment="1">
      <alignment horizontal="center" vertical="center" wrapText="1"/>
    </xf>
    <xf numFmtId="0" fontId="27" fillId="0" borderId="0" xfId="75" applyNumberFormat="1" applyFont="1" applyAlignment="1">
      <alignment horizontal="center" vertical="center" wrapText="1"/>
    </xf>
    <xf numFmtId="0" fontId="4" fillId="2" borderId="3" xfId="0" applyNumberFormat="1" applyFont="1" applyFill="1" applyBorder="1" applyAlignment="1">
      <alignment horizontal="left" vertical="center" wrapText="1"/>
    </xf>
    <xf numFmtId="186" fontId="4" fillId="10" borderId="3" xfId="0" applyNumberFormat="1" applyFont="1" applyFill="1" applyBorder="1" applyAlignment="1">
      <alignment horizontal="left" vertical="center" wrapText="1"/>
    </xf>
    <xf numFmtId="0" fontId="4" fillId="0" borderId="0" xfId="0" applyNumberFormat="1" applyFont="1" applyAlignment="1">
      <alignment horizontal="left" vertical="center" wrapText="1" indent="1"/>
    </xf>
    <xf numFmtId="0" fontId="10" fillId="0" borderId="0" xfId="0" applyNumberFormat="1" applyFont="1" applyAlignment="1">
      <alignment horizontal="left" vertical="center" indent="1"/>
    </xf>
    <xf numFmtId="0" fontId="4" fillId="3" borderId="10" xfId="0" applyNumberFormat="1" applyFont="1" applyFill="1" applyBorder="1" applyAlignment="1">
      <alignment vertical="center" wrapText="1"/>
    </xf>
    <xf numFmtId="0" fontId="4" fillId="3" borderId="16" xfId="0" applyNumberFormat="1" applyFont="1" applyFill="1" applyBorder="1" applyAlignment="1">
      <alignment vertical="center" wrapText="1"/>
    </xf>
    <xf numFmtId="0" fontId="4" fillId="0" borderId="7" xfId="0" applyNumberFormat="1" applyFont="1" applyBorder="1" applyAlignment="1">
      <alignment horizontal="left" vertical="center" wrapText="1"/>
    </xf>
    <xf numFmtId="185" fontId="4" fillId="0" borderId="0" xfId="0" applyNumberFormat="1" applyFont="1" applyAlignment="1">
      <alignment horizontal="right" vertical="center" wrapText="1"/>
    </xf>
    <xf numFmtId="188" fontId="23" fillId="0" borderId="8" xfId="0" applyNumberFormat="1" applyFont="1" applyBorder="1" applyAlignment="1">
      <alignment horizontal="center" vertical="center" wrapText="1"/>
    </xf>
    <xf numFmtId="188" fontId="4" fillId="0" borderId="3" xfId="0" applyNumberFormat="1" applyFont="1" applyBorder="1" applyAlignment="1">
      <alignment horizontal="center" vertical="center" wrapText="1"/>
    </xf>
    <xf numFmtId="188" fontId="4" fillId="0" borderId="4" xfId="0" applyNumberFormat="1" applyFont="1" applyBorder="1" applyAlignment="1">
      <alignment horizontal="center" vertical="center" wrapText="1"/>
    </xf>
    <xf numFmtId="0" fontId="4" fillId="2" borderId="17" xfId="0" applyNumberFormat="1" applyFont="1" applyFill="1" applyBorder="1" applyAlignment="1">
      <alignment horizontal="left" vertical="center" wrapText="1"/>
    </xf>
    <xf numFmtId="186" fontId="4" fillId="10" borderId="11" xfId="0" applyNumberFormat="1" applyFont="1" applyFill="1" applyBorder="1" applyAlignment="1">
      <alignment horizontal="left" vertical="center" wrapText="1"/>
    </xf>
    <xf numFmtId="49" fontId="4" fillId="10" borderId="15" xfId="0" applyNumberFormat="1" applyFont="1" applyFill="1" applyBorder="1" applyAlignment="1">
      <alignment horizontal="left" vertical="center" wrapText="1"/>
    </xf>
    <xf numFmtId="49" fontId="17" fillId="12" borderId="9" xfId="0" applyNumberFormat="1" applyFont="1" applyFill="1" applyBorder="1" applyAlignment="1">
      <alignment horizontal="left" vertical="center"/>
    </xf>
    <xf numFmtId="49" fontId="0" fillId="12" borderId="9" xfId="0" applyNumberFormat="1" applyFont="1" applyFill="1" applyBorder="1" applyAlignment="1">
      <alignment horizontal="right" vertical="center" wrapText="1"/>
    </xf>
    <xf numFmtId="0" fontId="4" fillId="0" borderId="35" xfId="0" applyNumberFormat="1" applyFont="1" applyBorder="1" applyAlignment="1">
      <alignment vertical="center" wrapText="1"/>
    </xf>
    <xf numFmtId="0" fontId="4" fillId="3" borderId="12" xfId="0" applyNumberFormat="1" applyFont="1" applyFill="1" applyBorder="1" applyAlignment="1">
      <alignment vertical="center" wrapText="1"/>
    </xf>
    <xf numFmtId="0" fontId="47" fillId="0" borderId="0" xfId="0" applyNumberFormat="1" applyFont="1" applyAlignment="1">
      <alignment vertical="center"/>
    </xf>
    <xf numFmtId="49" fontId="45" fillId="12" borderId="9" xfId="0" applyNumberFormat="1" applyFont="1" applyFill="1" applyBorder="1" applyAlignment="1">
      <alignment horizontal="left" vertical="center" wrapText="1"/>
    </xf>
    <xf numFmtId="49" fontId="45" fillId="12" borderId="17" xfId="0" applyNumberFormat="1" applyFont="1" applyFill="1" applyBorder="1" applyAlignment="1">
      <alignment horizontal="left" vertical="center" wrapText="1"/>
    </xf>
    <xf numFmtId="0" fontId="10" fillId="0" borderId="9" xfId="0" applyNumberFormat="1" applyFont="1" applyBorder="1" applyAlignment="1">
      <alignment horizontal="center" vertical="center" wrapText="1"/>
    </xf>
    <xf numFmtId="0" fontId="27" fillId="0" borderId="3" xfId="75" applyNumberFormat="1" applyFont="1" applyBorder="1" applyAlignment="1">
      <alignment horizontal="center" vertical="center" wrapText="1"/>
    </xf>
    <xf numFmtId="188" fontId="23" fillId="0" borderId="33" xfId="0" applyNumberFormat="1" applyFont="1" applyBorder="1" applyAlignment="1">
      <alignment horizontal="center" vertical="center" wrapText="1"/>
    </xf>
    <xf numFmtId="0" fontId="10" fillId="0" borderId="0" xfId="0" applyNumberFormat="1" applyFont="1" applyAlignment="1">
      <alignment horizontal="center" vertical="center"/>
    </xf>
    <xf numFmtId="188" fontId="4" fillId="0" borderId="6" xfId="0" applyNumberFormat="1" applyFont="1" applyBorder="1" applyAlignment="1">
      <alignment horizontal="center" vertical="center" wrapText="1"/>
    </xf>
    <xf numFmtId="188" fontId="4" fillId="0" borderId="10" xfId="0" applyNumberFormat="1" applyFont="1" applyBorder="1" applyAlignment="1">
      <alignment horizontal="center" vertical="center" wrapText="1"/>
    </xf>
    <xf numFmtId="188" fontId="4" fillId="0" borderId="11" xfId="0" applyNumberFormat="1" applyFont="1" applyBorder="1" applyAlignment="1">
      <alignment horizontal="center" vertical="center" wrapText="1"/>
    </xf>
    <xf numFmtId="49" fontId="4" fillId="13" borderId="9" xfId="0" applyNumberFormat="1" applyFont="1" applyFill="1" applyBorder="1" applyAlignment="1" applyProtection="1">
      <alignment horizontal="left" vertical="center" wrapText="1"/>
      <protection locked="0"/>
    </xf>
    <xf numFmtId="49" fontId="4" fillId="13" borderId="15" xfId="0" applyNumberFormat="1" applyFont="1" applyFill="1" applyBorder="1" applyAlignment="1" applyProtection="1">
      <alignment horizontal="left" vertical="center" wrapText="1"/>
      <protection locked="0"/>
    </xf>
    <xf numFmtId="49" fontId="4" fillId="0" borderId="3" xfId="0" applyNumberFormat="1" applyFont="1" applyBorder="1" applyAlignment="1">
      <alignment horizontal="left" vertical="top" wrapText="1"/>
    </xf>
    <xf numFmtId="49" fontId="48" fillId="0" borderId="3" xfId="0" applyNumberFormat="1" applyFont="1" applyBorder="1" applyAlignment="1">
      <alignment horizontal="left" vertical="top" wrapText="1"/>
    </xf>
    <xf numFmtId="0" fontId="47" fillId="0" borderId="0" xfId="0" applyNumberFormat="1" applyFont="1" applyAlignment="1">
      <alignment vertical="center" wrapText="1"/>
    </xf>
    <xf numFmtId="189" fontId="4" fillId="13" borderId="3" xfId="0" applyNumberFormat="1" applyFont="1" applyFill="1" applyBorder="1" applyAlignment="1" applyProtection="1">
      <alignment horizontal="left" vertical="center" wrapText="1" indent="1"/>
      <protection locked="0"/>
    </xf>
    <xf numFmtId="186" fontId="10" fillId="0" borderId="0" xfId="0" applyNumberFormat="1" applyFont="1" applyAlignment="1">
      <alignment horizontal="center" vertical="center" wrapText="1"/>
    </xf>
    <xf numFmtId="188" fontId="4" fillId="0" borderId="7" xfId="0" applyNumberFormat="1" applyFont="1" applyBorder="1" applyAlignment="1">
      <alignment horizontal="center" vertical="center" wrapText="1"/>
    </xf>
    <xf numFmtId="0" fontId="10" fillId="0" borderId="11" xfId="0" applyNumberFormat="1" applyFont="1" applyBorder="1" applyAlignment="1">
      <alignment horizontal="center" vertical="center" wrapText="1"/>
    </xf>
    <xf numFmtId="0" fontId="4" fillId="0" borderId="11" xfId="0" applyNumberFormat="1" applyFont="1" applyBorder="1" applyAlignment="1">
      <alignment horizontal="left" vertical="center" wrapText="1" indent="1"/>
    </xf>
    <xf numFmtId="186" fontId="0" fillId="0" borderId="3" xfId="0" applyNumberFormat="1" applyFont="1" applyBorder="1" applyAlignment="1">
      <alignment horizontal="left" vertical="center" wrapText="1" indent="1"/>
    </xf>
    <xf numFmtId="186" fontId="4" fillId="0" borderId="11" xfId="0" applyNumberFormat="1" applyFont="1" applyBorder="1" applyAlignment="1">
      <alignment horizontal="left" vertical="center" wrapText="1" indent="1"/>
    </xf>
    <xf numFmtId="186" fontId="4" fillId="13" borderId="3" xfId="0" applyNumberFormat="1" applyFont="1" applyFill="1" applyBorder="1" applyAlignment="1" applyProtection="1">
      <alignment horizontal="left" vertical="center" wrapText="1" indent="1"/>
      <protection locked="0"/>
    </xf>
    <xf numFmtId="49" fontId="45" fillId="11"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left" vertical="center" wrapText="1" indent="1"/>
    </xf>
    <xf numFmtId="0" fontId="10" fillId="0" borderId="0" xfId="0" applyNumberFormat="1" applyFont="1" applyAlignment="1">
      <alignment horizontal="left" vertical="center" wrapText="1" indent="1"/>
    </xf>
    <xf numFmtId="185" fontId="4" fillId="0" borderId="4" xfId="0" applyNumberFormat="1" applyFont="1" applyBorder="1" applyAlignment="1">
      <alignment horizontal="center" vertical="center" wrapText="1"/>
    </xf>
    <xf numFmtId="188" fontId="4" fillId="0" borderId="13" xfId="0" applyNumberFormat="1" applyFont="1" applyBorder="1" applyAlignment="1">
      <alignment horizontal="center" vertical="center" wrapText="1"/>
    </xf>
    <xf numFmtId="185" fontId="4" fillId="0" borderId="10" xfId="0" applyNumberFormat="1" applyFont="1" applyBorder="1" applyAlignment="1">
      <alignment horizontal="center" vertical="center" wrapText="1"/>
    </xf>
    <xf numFmtId="185" fontId="4" fillId="0" borderId="11" xfId="0" applyNumberFormat="1" applyFont="1" applyBorder="1" applyAlignment="1">
      <alignment horizontal="center" vertical="center" wrapText="1"/>
    </xf>
    <xf numFmtId="49" fontId="45" fillId="0" borderId="3" xfId="0" applyNumberFormat="1" applyFont="1" applyBorder="1" applyAlignment="1">
      <alignment horizontal="left" vertical="center" wrapText="1"/>
    </xf>
    <xf numFmtId="0" fontId="4" fillId="0" borderId="33" xfId="0" applyNumberFormat="1" applyFont="1" applyBorder="1" applyAlignment="1">
      <alignment horizontal="left" vertical="top" wrapText="1"/>
    </xf>
    <xf numFmtId="0" fontId="4" fillId="0" borderId="17" xfId="0" applyNumberFormat="1" applyFont="1" applyBorder="1" applyAlignment="1">
      <alignment horizontal="left" vertical="top" wrapText="1"/>
    </xf>
    <xf numFmtId="186" fontId="0" fillId="13" borderId="7" xfId="0" applyNumberFormat="1" applyFont="1" applyFill="1" applyBorder="1" applyAlignment="1" applyProtection="1">
      <alignment horizontal="left" vertical="center" wrapText="1" indent="1"/>
      <protection locked="0"/>
    </xf>
    <xf numFmtId="0" fontId="4" fillId="2" borderId="11" xfId="0" applyNumberFormat="1" applyFont="1" applyFill="1" applyBorder="1" applyAlignment="1">
      <alignment horizontal="left" vertical="center" wrapText="1" indent="1"/>
    </xf>
    <xf numFmtId="186" fontId="4" fillId="13" borderId="11" xfId="0" applyNumberFormat="1" applyFont="1" applyFill="1" applyBorder="1" applyAlignment="1" applyProtection="1">
      <alignment horizontal="left" vertical="center" wrapText="1" indent="1"/>
      <protection locked="0"/>
    </xf>
    <xf numFmtId="0" fontId="23" fillId="0" borderId="0" xfId="0" applyNumberFormat="1" applyFont="1" applyAlignment="1">
      <alignment vertical="center" wrapText="1"/>
    </xf>
    <xf numFmtId="188" fontId="4" fillId="0" borderId="14" xfId="0" applyNumberFormat="1" applyFont="1" applyBorder="1" applyAlignment="1">
      <alignment horizontal="center" vertical="center" wrapText="1"/>
    </xf>
    <xf numFmtId="49" fontId="3" fillId="12" borderId="15" xfId="0" applyNumberFormat="1" applyFont="1" applyFill="1" applyBorder="1" applyAlignment="1">
      <alignment horizontal="right" vertical="center" wrapText="1"/>
    </xf>
    <xf numFmtId="0" fontId="38" fillId="0" borderId="0" xfId="0" applyNumberFormat="1" applyFont="1" applyAlignment="1">
      <alignment vertical="center" wrapText="1"/>
    </xf>
    <xf numFmtId="0" fontId="49" fillId="0" borderId="0" xfId="0" applyNumberFormat="1" applyFont="1" applyAlignment="1">
      <alignment horizontal="center" vertical="center" wrapText="1"/>
    </xf>
    <xf numFmtId="186" fontId="4" fillId="13" borderId="6" xfId="0" applyNumberFormat="1" applyFont="1" applyFill="1" applyBorder="1" applyAlignment="1" applyProtection="1">
      <alignment horizontal="left" vertical="center" wrapText="1" indent="1"/>
      <protection locked="0"/>
    </xf>
    <xf numFmtId="0" fontId="8" fillId="0" borderId="10" xfId="0" applyNumberFormat="1" applyFont="1" applyBorder="1" applyAlignment="1">
      <alignment horizontal="left" vertical="center" wrapText="1" indent="1"/>
    </xf>
    <xf numFmtId="49" fontId="0" fillId="12" borderId="17" xfId="0" applyNumberFormat="1" applyFont="1" applyFill="1" applyBorder="1" applyAlignment="1">
      <alignment horizontal="right" vertical="center" wrapText="1"/>
    </xf>
    <xf numFmtId="0" fontId="50" fillId="3" borderId="0" xfId="0" applyNumberFormat="1" applyFont="1" applyFill="1" applyAlignment="1"/>
    <xf numFmtId="0" fontId="21" fillId="3" borderId="0" xfId="0" applyNumberFormat="1" applyFont="1" applyFill="1" applyAlignment="1"/>
    <xf numFmtId="0" fontId="10" fillId="3" borderId="0" xfId="0" applyNumberFormat="1" applyFont="1" applyFill="1" applyAlignment="1"/>
    <xf numFmtId="0" fontId="0" fillId="3" borderId="0" xfId="0" applyNumberFormat="1" applyFont="1" applyFill="1" applyAlignment="1">
      <alignment horizontal="center"/>
    </xf>
    <xf numFmtId="49" fontId="51" fillId="0" borderId="0" xfId="0" applyNumberFormat="1" applyFont="1" applyAlignment="1">
      <alignment horizontal="center" vertical="center" wrapText="1"/>
    </xf>
    <xf numFmtId="49" fontId="4" fillId="3" borderId="3" xfId="0" applyNumberFormat="1" applyFont="1" applyFill="1" applyBorder="1" applyAlignment="1">
      <alignment horizontal="center" vertical="center"/>
    </xf>
    <xf numFmtId="0" fontId="4" fillId="13" borderId="3" xfId="0" applyNumberFormat="1" applyFont="1" applyFill="1" applyBorder="1" applyAlignment="1" applyProtection="1">
      <alignment horizontal="center" vertical="center" wrapText="1"/>
      <protection locked="0"/>
    </xf>
    <xf numFmtId="0" fontId="8" fillId="3" borderId="0" xfId="0" applyNumberFormat="1" applyFont="1" applyFill="1" applyAlignment="1"/>
    <xf numFmtId="0" fontId="4" fillId="0" borderId="33" xfId="0" applyNumberFormat="1" applyFont="1" applyBorder="1" applyAlignment="1">
      <alignment horizontal="left" vertical="center" wrapText="1" indent="1"/>
    </xf>
    <xf numFmtId="0" fontId="4" fillId="0" borderId="4" xfId="0" applyNumberFormat="1" applyFont="1" applyBorder="1" applyAlignment="1">
      <alignment horizontal="left" vertical="center" wrapText="1" indent="1"/>
    </xf>
    <xf numFmtId="0" fontId="4" fillId="0" borderId="14" xfId="0" applyNumberFormat="1" applyFont="1" applyBorder="1" applyAlignment="1">
      <alignment horizontal="left" vertical="center" wrapText="1" indent="1"/>
    </xf>
    <xf numFmtId="0" fontId="4" fillId="0" borderId="9" xfId="0" applyNumberFormat="1" applyFont="1" applyBorder="1" applyAlignment="1">
      <alignment horizontal="left" vertical="center" wrapText="1" indent="1"/>
    </xf>
    <xf numFmtId="0" fontId="52" fillId="0" borderId="0" xfId="0" applyNumberFormat="1" applyFont="1" applyAlignment="1">
      <alignment vertical="center"/>
    </xf>
    <xf numFmtId="0" fontId="4" fillId="3" borderId="0" xfId="0" applyNumberFormat="1" applyFont="1" applyFill="1" applyAlignment="1">
      <alignment horizontal="center" vertical="center" wrapText="1"/>
    </xf>
    <xf numFmtId="0" fontId="53" fillId="3" borderId="0" xfId="0" applyNumberFormat="1" applyFont="1" applyFill="1" applyAlignment="1">
      <alignment horizontal="left" vertical="center" wrapText="1"/>
    </xf>
    <xf numFmtId="49" fontId="4" fillId="3" borderId="3" xfId="0" applyNumberFormat="1" applyFont="1" applyFill="1" applyBorder="1" applyAlignment="1">
      <alignment horizontal="center" vertical="center" wrapText="1"/>
    </xf>
    <xf numFmtId="0" fontId="0" fillId="3" borderId="3" xfId="0" applyNumberFormat="1" applyFont="1" applyFill="1" applyBorder="1" applyAlignment="1">
      <alignment horizontal="center" vertical="center" wrapText="1"/>
    </xf>
    <xf numFmtId="0" fontId="27" fillId="3" borderId="0" xfId="0" applyNumberFormat="1" applyFont="1" applyFill="1" applyAlignment="1">
      <alignment horizontal="center" vertical="center"/>
    </xf>
    <xf numFmtId="0" fontId="22" fillId="3" borderId="0" xfId="0" applyNumberFormat="1" applyFont="1" applyFill="1" applyAlignment="1"/>
    <xf numFmtId="49" fontId="4" fillId="0" borderId="3" xfId="0" applyNumberFormat="1" applyFont="1" applyBorder="1" applyAlignment="1">
      <alignment horizontal="center" vertical="center"/>
    </xf>
    <xf numFmtId="0" fontId="4" fillId="0" borderId="3" xfId="0" applyNumberFormat="1" applyFont="1" applyBorder="1" applyAlignment="1">
      <alignment horizontal="left" vertical="center" wrapText="1" indent="1"/>
    </xf>
    <xf numFmtId="0" fontId="10" fillId="3" borderId="0" xfId="0" applyNumberFormat="1" applyFont="1" applyFill="1" applyAlignment="1">
      <alignment horizontal="center" vertical="center" wrapText="1"/>
    </xf>
    <xf numFmtId="0" fontId="0" fillId="3" borderId="4" xfId="0" applyNumberFormat="1" applyFont="1" applyFill="1" applyBorder="1" applyAlignment="1">
      <alignment horizontal="left" vertical="top" wrapText="1"/>
    </xf>
    <xf numFmtId="0" fontId="7" fillId="3" borderId="0" xfId="0" applyNumberFormat="1" applyFont="1" applyFill="1" applyAlignment="1">
      <alignment vertical="center" wrapText="1"/>
    </xf>
    <xf numFmtId="0" fontId="10" fillId="3" borderId="3" xfId="0" applyNumberFormat="1" applyFont="1" applyFill="1" applyBorder="1" applyAlignment="1">
      <alignment horizontal="center" vertical="center"/>
    </xf>
    <xf numFmtId="0" fontId="10" fillId="3" borderId="3" xfId="0" applyNumberFormat="1" applyFont="1" applyFill="1" applyBorder="1" applyAlignment="1">
      <alignment horizontal="left" vertical="center" wrapText="1" indent="2"/>
    </xf>
    <xf numFmtId="0" fontId="10" fillId="0" borderId="3" xfId="0" applyNumberFormat="1" applyFont="1" applyBorder="1" applyAlignment="1">
      <alignment horizontal="center" vertical="center" wrapText="1"/>
    </xf>
    <xf numFmtId="0" fontId="0" fillId="3" borderId="10" xfId="0" applyNumberFormat="1" applyFont="1" applyFill="1" applyBorder="1" applyAlignment="1">
      <alignment horizontal="left" vertical="top" wrapText="1"/>
    </xf>
    <xf numFmtId="0" fontId="4" fillId="12" borderId="6" xfId="0" applyNumberFormat="1" applyFont="1" applyFill="1" applyBorder="1" applyAlignment="1">
      <alignment horizontal="center"/>
    </xf>
    <xf numFmtId="0" fontId="16" fillId="12" borderId="13" xfId="0" applyNumberFormat="1" applyFont="1" applyFill="1" applyBorder="1" applyAlignment="1">
      <alignment horizontal="left" vertical="center"/>
    </xf>
    <xf numFmtId="0" fontId="0" fillId="3" borderId="11" xfId="0" applyNumberFormat="1" applyFont="1" applyFill="1" applyBorder="1" applyAlignment="1">
      <alignment horizontal="left" vertical="top" wrapText="1"/>
    </xf>
    <xf numFmtId="0" fontId="54" fillId="3" borderId="0" xfId="0" applyNumberFormat="1" applyFont="1" applyFill="1" applyAlignment="1"/>
    <xf numFmtId="0" fontId="4" fillId="3" borderId="3" xfId="0" applyNumberFormat="1" applyFont="1" applyFill="1" applyBorder="1" applyAlignment="1">
      <alignment horizontal="left" vertical="top" wrapText="1"/>
    </xf>
    <xf numFmtId="49" fontId="45" fillId="11" borderId="11" xfId="0" applyNumberFormat="1" applyFont="1" applyFill="1" applyBorder="1" applyAlignment="1" applyProtection="1">
      <alignment horizontal="left" vertical="center" wrapText="1"/>
      <protection locked="0"/>
    </xf>
    <xf numFmtId="0" fontId="4" fillId="3" borderId="3" xfId="0" applyNumberFormat="1" applyFont="1" applyFill="1" applyBorder="1" applyAlignment="1">
      <alignment vertical="top" wrapText="1"/>
    </xf>
    <xf numFmtId="0" fontId="33" fillId="0" borderId="0" xfId="0" applyNumberFormat="1" applyFont="1" applyAlignment="1">
      <alignment vertical="center"/>
    </xf>
    <xf numFmtId="49" fontId="4" fillId="0" borderId="0" xfId="0" applyNumberFormat="1" applyFont="1" applyAlignment="1">
      <alignment horizontal="center" vertical="top"/>
    </xf>
    <xf numFmtId="49" fontId="0" fillId="0" borderId="0" xfId="0" applyNumberFormat="1" applyFont="1" applyAlignment="1">
      <alignment vertical="center" wrapText="1"/>
    </xf>
    <xf numFmtId="49" fontId="20" fillId="17" borderId="0" xfId="0" applyNumberFormat="1" applyFont="1" applyFill="1" applyAlignment="1">
      <alignment horizontal="center" vertical="center"/>
    </xf>
    <xf numFmtId="0" fontId="4" fillId="0" borderId="3" xfId="0" applyNumberFormat="1" applyFont="1" applyBorder="1" applyAlignment="1">
      <alignment vertical="center"/>
    </xf>
    <xf numFmtId="0" fontId="0" fillId="0" borderId="3" xfId="0" applyNumberFormat="1" applyFont="1" applyBorder="1" applyAlignment="1">
      <alignment vertical="center"/>
    </xf>
    <xf numFmtId="0" fontId="0" fillId="18" borderId="5" xfId="0" applyNumberFormat="1" applyFont="1" applyFill="1" applyBorder="1" applyAlignment="1">
      <alignment horizontal="center"/>
    </xf>
    <xf numFmtId="49" fontId="23" fillId="19" borderId="0" xfId="0" applyNumberFormat="1" applyFont="1" applyFill="1" applyAlignment="1">
      <alignment vertical="center" wrapText="1"/>
    </xf>
    <xf numFmtId="0" fontId="0" fillId="0" borderId="5" xfId="0" applyNumberFormat="1" applyFont="1" applyBorder="1" applyAlignment="1">
      <alignment horizontal="center"/>
    </xf>
    <xf numFmtId="49" fontId="20" fillId="17" borderId="0" xfId="0" applyNumberFormat="1" applyFont="1" applyFill="1" applyAlignment="1">
      <alignment horizontal="center" vertical="center" wrapText="1"/>
    </xf>
    <xf numFmtId="49" fontId="0" fillId="11" borderId="30" xfId="0" applyNumberFormat="1" applyFont="1" applyFill="1" applyBorder="1" applyAlignment="1" applyProtection="1">
      <alignment horizontal="left" vertical="center"/>
      <protection locked="0"/>
    </xf>
    <xf numFmtId="49" fontId="0" fillId="0" borderId="30" xfId="0" applyNumberFormat="1" applyFont="1" applyBorder="1" applyAlignment="1">
      <alignment horizontal="right" vertical="center"/>
    </xf>
    <xf numFmtId="0" fontId="0" fillId="2" borderId="30" xfId="0" applyNumberFormat="1" applyFont="1" applyFill="1" applyBorder="1" applyAlignment="1">
      <alignment horizontal="center" vertical="center"/>
    </xf>
    <xf numFmtId="49" fontId="0" fillId="0" borderId="30" xfId="0" applyNumberFormat="1" applyFont="1" applyBorder="1" applyAlignment="1">
      <alignment horizontal="center" vertical="center"/>
    </xf>
    <xf numFmtId="49" fontId="0" fillId="0" borderId="0" xfId="0" applyNumberFormat="1" applyFont="1" applyAlignment="1">
      <alignment horizontal="left" vertical="center"/>
    </xf>
    <xf numFmtId="0" fontId="55" fillId="0" borderId="36" xfId="0" applyNumberFormat="1" applyFont="1" applyBorder="1" applyAlignment="1">
      <alignment horizontal="center" vertical="center"/>
    </xf>
    <xf numFmtId="0" fontId="0" fillId="0" borderId="36" xfId="0" applyNumberFormat="1" applyFont="1" applyBorder="1" applyAlignment="1">
      <alignment horizontal="center" vertical="center"/>
    </xf>
    <xf numFmtId="49" fontId="20" fillId="17" borderId="3" xfId="0" applyNumberFormat="1" applyFont="1" applyFill="1" applyBorder="1" applyAlignment="1">
      <alignment horizontal="right" vertical="center"/>
    </xf>
    <xf numFmtId="49" fontId="4" fillId="11" borderId="14" xfId="0" applyNumberFormat="1" applyFont="1" applyFill="1" applyBorder="1" applyProtection="1">
      <alignment vertical="top"/>
      <protection locked="0"/>
    </xf>
    <xf numFmtId="0" fontId="4" fillId="0" borderId="3" xfId="0" applyNumberFormat="1" applyFont="1" applyBorder="1">
      <alignment vertical="top"/>
    </xf>
    <xf numFmtId="0" fontId="0" fillId="14" borderId="3" xfId="0" applyNumberFormat="1" applyFont="1" applyFill="1" applyBorder="1" applyAlignment="1">
      <alignment horizontal="right" vertical="center"/>
    </xf>
    <xf numFmtId="49" fontId="4" fillId="14" borderId="11" xfId="0" applyNumberFormat="1" applyFont="1" applyFill="1" applyBorder="1">
      <alignment vertical="top"/>
    </xf>
    <xf numFmtId="49" fontId="4" fillId="14" borderId="3" xfId="0" applyNumberFormat="1" applyFont="1" applyFill="1" applyBorder="1">
      <alignment vertical="top"/>
    </xf>
    <xf numFmtId="0" fontId="4" fillId="0" borderId="0" xfId="0" applyNumberFormat="1" applyFont="1">
      <alignment vertical="top"/>
    </xf>
    <xf numFmtId="49" fontId="4" fillId="0" borderId="3" xfId="0" applyNumberFormat="1" applyFont="1" applyBorder="1" applyAlignment="1">
      <alignment horizontal="center" vertical="top"/>
    </xf>
    <xf numFmtId="49" fontId="4" fillId="0" borderId="13" xfId="0" applyNumberFormat="1" applyFont="1" applyBorder="1" applyAlignment="1">
      <alignment horizontal="center" vertical="top"/>
    </xf>
    <xf numFmtId="49" fontId="4" fillId="0" borderId="6" xfId="0" applyNumberFormat="1" applyFont="1" applyBorder="1" applyAlignment="1">
      <alignment horizontal="center" vertical="top"/>
    </xf>
    <xf numFmtId="0" fontId="0" fillId="0" borderId="37" xfId="0" applyNumberFormat="1" applyFont="1" applyBorder="1" applyAlignment="1">
      <alignment horizontal="center" vertical="center"/>
    </xf>
    <xf numFmtId="49" fontId="20" fillId="17" borderId="6" xfId="0" applyNumberFormat="1" applyFont="1" applyFill="1" applyBorder="1" applyAlignment="1">
      <alignment horizontal="right" vertical="center"/>
    </xf>
    <xf numFmtId="49" fontId="4" fillId="0" borderId="3" xfId="0" applyNumberFormat="1" applyFont="1" applyBorder="1">
      <alignment vertical="top"/>
    </xf>
    <xf numFmtId="0" fontId="4" fillId="0" borderId="6" xfId="0" applyNumberFormat="1" applyFont="1" applyBorder="1" applyAlignment="1">
      <alignment horizontal="left" vertical="center"/>
    </xf>
    <xf numFmtId="49" fontId="4" fillId="0" borderId="38" xfId="0" applyNumberFormat="1" applyFont="1" applyBorder="1" applyAlignment="1">
      <alignment vertical="center"/>
    </xf>
    <xf numFmtId="49" fontId="4" fillId="0" borderId="6" xfId="0" applyNumberFormat="1" applyFont="1" applyBorder="1">
      <alignment vertical="top"/>
    </xf>
    <xf numFmtId="0" fontId="0" fillId="0" borderId="6" xfId="0" applyNumberFormat="1" applyFont="1" applyBorder="1" applyAlignment="1">
      <alignment horizontal="left" vertical="center"/>
    </xf>
    <xf numFmtId="49" fontId="4" fillId="0" borderId="30" xfId="0" applyNumberFormat="1" applyFont="1" applyBorder="1" applyAlignment="1">
      <alignment horizontal="center" vertical="center"/>
    </xf>
    <xf numFmtId="49" fontId="56" fillId="0" borderId="39" xfId="0" applyNumberFormat="1" applyFont="1" applyBorder="1">
      <alignment vertical="top"/>
    </xf>
    <xf numFmtId="49" fontId="4" fillId="18" borderId="0" xfId="0" applyNumberFormat="1" applyFont="1" applyFill="1" applyAlignment="1">
      <alignment horizontal="center" vertical="center"/>
    </xf>
    <xf numFmtId="0" fontId="4" fillId="2" borderId="15" xfId="0" applyNumberFormat="1" applyFont="1" applyFill="1" applyBorder="1" applyAlignment="1">
      <alignment horizontal="center" vertical="top"/>
    </xf>
    <xf numFmtId="0" fontId="4" fillId="2" borderId="15" xfId="0" applyNumberFormat="1" applyFont="1" applyFill="1" applyBorder="1" applyAlignment="1">
      <alignment horizontal="left" vertical="top"/>
    </xf>
    <xf numFmtId="0" fontId="0" fillId="0" borderId="40" xfId="0" applyNumberFormat="1" applyFont="1" applyBorder="1" applyAlignment="1">
      <alignment horizontal="center" vertical="center"/>
    </xf>
    <xf numFmtId="0" fontId="4" fillId="0" borderId="3" xfId="0" applyNumberFormat="1" applyFont="1" applyBorder="1" applyAlignment="1">
      <alignment horizontal="left" vertical="top"/>
    </xf>
    <xf numFmtId="49" fontId="4" fillId="0" borderId="0" xfId="0" applyNumberFormat="1" applyFont="1" applyAlignment="1">
      <alignment horizontal="left" vertical="top"/>
    </xf>
    <xf numFmtId="0" fontId="0" fillId="0" borderId="32" xfId="0" applyNumberFormat="1" applyFont="1" applyBorder="1" applyAlignment="1">
      <alignment horizontal="center" vertical="center"/>
    </xf>
    <xf numFmtId="49" fontId="4" fillId="0" borderId="41" xfId="0" applyNumberFormat="1" applyFont="1" applyBorder="1">
      <alignment vertical="top"/>
    </xf>
    <xf numFmtId="49" fontId="4" fillId="0" borderId="39" xfId="0" applyNumberFormat="1" applyFont="1" applyBorder="1">
      <alignment vertical="top"/>
    </xf>
    <xf numFmtId="0" fontId="0" fillId="0" borderId="13"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49" fontId="4" fillId="0" borderId="3" xfId="0" applyNumberFormat="1" applyFont="1" applyBorder="1" applyAlignment="1">
      <alignment horizontal="right" vertical="top"/>
    </xf>
    <xf numFmtId="49" fontId="4" fillId="0" borderId="4" xfId="0" applyNumberFormat="1" applyFont="1" applyBorder="1" applyAlignment="1">
      <alignment horizontal="right" vertical="top"/>
    </xf>
    <xf numFmtId="0" fontId="0" fillId="0" borderId="4" xfId="0" applyNumberFormat="1" applyFont="1" applyBorder="1">
      <alignment vertical="top"/>
    </xf>
    <xf numFmtId="49" fontId="4" fillId="0" borderId="3" xfId="0" applyNumberFormat="1" applyFont="1" applyBorder="1" applyAlignment="1">
      <alignment horizontal="right" vertical="center"/>
    </xf>
    <xf numFmtId="0" fontId="4" fillId="0" borderId="13" xfId="0" applyNumberFormat="1" applyFont="1" applyBorder="1" applyAlignment="1">
      <alignment vertical="center"/>
    </xf>
    <xf numFmtId="49" fontId="4" fillId="0" borderId="3" xfId="0" applyNumberFormat="1" applyFont="1" applyBorder="1" applyAlignment="1">
      <alignment vertical="center"/>
    </xf>
    <xf numFmtId="0" fontId="4" fillId="0" borderId="4" xfId="0" applyNumberFormat="1" applyFont="1" applyBorder="1" applyAlignment="1">
      <alignment vertical="center"/>
    </xf>
    <xf numFmtId="0" fontId="0" fillId="18" borderId="0" xfId="0" applyNumberFormat="1" applyFont="1" applyFill="1" applyAlignment="1">
      <alignment horizontal="right" vertical="center"/>
    </xf>
    <xf numFmtId="49" fontId="8" fillId="17" borderId="0" xfId="0" applyNumberFormat="1" applyFont="1" applyFill="1" applyAlignment="1">
      <alignment horizontal="center" vertical="center" wrapText="1"/>
    </xf>
    <xf numFmtId="0" fontId="0" fillId="20" borderId="3" xfId="0" applyNumberFormat="1" applyFont="1" applyFill="1" applyBorder="1" applyAlignment="1">
      <alignment horizontal="center" vertical="center"/>
    </xf>
    <xf numFmtId="49" fontId="8" fillId="17" borderId="3" xfId="0" applyNumberFormat="1" applyFont="1" applyFill="1" applyBorder="1" applyAlignment="1">
      <alignment horizontal="center" vertical="center"/>
    </xf>
    <xf numFmtId="49" fontId="8" fillId="21" borderId="3" xfId="0" applyNumberFormat="1" applyFont="1" applyFill="1" applyBorder="1" applyAlignment="1">
      <alignment horizontal="center" vertical="center"/>
    </xf>
    <xf numFmtId="0" fontId="0" fillId="18" borderId="0" xfId="0" applyNumberFormat="1" applyFont="1" applyFill="1" applyAlignment="1">
      <alignment horizontal="left" vertical="center"/>
    </xf>
    <xf numFmtId="0" fontId="4" fillId="18" borderId="0" xfId="0" applyNumberFormat="1" applyFont="1" applyFill="1" applyAlignment="1">
      <alignment horizontal="left" vertical="center"/>
    </xf>
    <xf numFmtId="49" fontId="0" fillId="22" borderId="3" xfId="0" applyNumberFormat="1" applyFont="1" applyFill="1" applyBorder="1" applyAlignment="1">
      <alignment horizontal="center" vertical="center"/>
    </xf>
    <xf numFmtId="49" fontId="20" fillId="0" borderId="0" xfId="0" applyNumberFormat="1" applyFont="1" applyAlignment="1">
      <alignment horizontal="center" vertical="center"/>
    </xf>
    <xf numFmtId="0" fontId="0" fillId="0" borderId="0" xfId="0" applyNumberFormat="1" applyFont="1" applyAlignment="1">
      <alignment horizontal="right" vertical="top"/>
    </xf>
    <xf numFmtId="0" fontId="57" fillId="18" borderId="0" xfId="0" applyNumberFormat="1" applyFont="1" applyFill="1" applyAlignment="1">
      <alignment horizontal="left" vertical="center"/>
    </xf>
    <xf numFmtId="0" fontId="57" fillId="0" borderId="0" xfId="0" applyNumberFormat="1" applyFont="1" applyAlignment="1">
      <alignment horizontal="left" vertical="center"/>
    </xf>
    <xf numFmtId="0" fontId="0" fillId="18" borderId="0" xfId="0" applyNumberFormat="1" applyFont="1" applyFill="1" applyAlignment="1">
      <alignment horizontal="right" vertical="top" wrapText="1"/>
    </xf>
    <xf numFmtId="0" fontId="58" fillId="0" borderId="0" xfId="0" applyNumberFormat="1" applyFont="1" applyAlignment="1">
      <alignment vertical="center" wrapText="1"/>
    </xf>
    <xf numFmtId="0" fontId="4" fillId="0" borderId="8" xfId="0" applyNumberFormat="1" applyFont="1" applyBorder="1" applyAlignment="1">
      <alignment horizontal="left" vertical="top" wrapText="1" indent="1"/>
    </xf>
    <xf numFmtId="0" fontId="4" fillId="0" borderId="6" xfId="0" applyNumberFormat="1" applyFont="1" applyBorder="1" applyAlignment="1">
      <alignment vertical="center" wrapText="1"/>
    </xf>
    <xf numFmtId="0" fontId="4" fillId="0" borderId="7" xfId="0" applyNumberFormat="1" applyFont="1" applyBorder="1" applyAlignment="1">
      <alignment horizontal="right" vertical="center" wrapText="1" indent="1"/>
    </xf>
    <xf numFmtId="0" fontId="4" fillId="0" borderId="13" xfId="0" applyNumberFormat="1" applyFont="1" applyBorder="1" applyAlignment="1">
      <alignment horizontal="right" vertical="center" wrapText="1" indent="1"/>
    </xf>
    <xf numFmtId="0" fontId="4" fillId="2" borderId="6" xfId="0" applyNumberFormat="1" applyFont="1" applyFill="1" applyBorder="1" applyAlignment="1">
      <alignment horizontal="left" vertical="top" wrapText="1" indent="1"/>
    </xf>
    <xf numFmtId="0" fontId="4" fillId="2" borderId="13" xfId="0" applyNumberFormat="1" applyFont="1" applyFill="1" applyBorder="1" applyAlignment="1">
      <alignment horizontal="left" vertical="top" wrapText="1" indent="1"/>
    </xf>
    <xf numFmtId="0" fontId="4" fillId="0" borderId="6" xfId="0" applyNumberFormat="1" applyFont="1" applyBorder="1" applyAlignment="1">
      <alignment horizontal="right" vertical="center" wrapText="1"/>
    </xf>
    <xf numFmtId="0" fontId="4" fillId="0" borderId="7" xfId="0" applyNumberFormat="1" applyFont="1" applyBorder="1" applyAlignment="1">
      <alignment horizontal="right" vertical="center" wrapText="1"/>
    </xf>
    <xf numFmtId="49" fontId="27" fillId="0" borderId="0" xfId="0" applyNumberFormat="1" applyFont="1" applyAlignment="1">
      <alignment horizontal="center" vertical="center" wrapText="1"/>
    </xf>
    <xf numFmtId="187" fontId="4" fillId="0" borderId="6" xfId="0" applyNumberFormat="1" applyFont="1" applyBorder="1" applyAlignment="1">
      <alignment vertical="center" wrapText="1"/>
    </xf>
    <xf numFmtId="187" fontId="4" fillId="11" borderId="6" xfId="0" applyNumberFormat="1" applyFont="1" applyFill="1" applyBorder="1" applyAlignment="1" applyProtection="1">
      <alignment horizontal="right" vertical="center" wrapText="1"/>
      <protection locked="0"/>
    </xf>
    <xf numFmtId="185" fontId="4" fillId="11" borderId="6" xfId="0" applyNumberFormat="1" applyFont="1" applyFill="1" applyBorder="1" applyAlignment="1" applyProtection="1">
      <alignment horizontal="right" vertical="center" wrapText="1"/>
      <protection locked="0"/>
    </xf>
    <xf numFmtId="185" fontId="4" fillId="0" borderId="6" xfId="0" applyNumberFormat="1" applyFont="1" applyBorder="1" applyAlignment="1">
      <alignment horizontal="right" vertical="center" wrapText="1"/>
    </xf>
    <xf numFmtId="185" fontId="4" fillId="0" borderId="15" xfId="0" applyNumberFormat="1" applyFont="1" applyBorder="1" applyAlignment="1">
      <alignment horizontal="right" vertical="center" wrapText="1"/>
    </xf>
    <xf numFmtId="0" fontId="4" fillId="0" borderId="13" xfId="0" applyNumberFormat="1" applyFont="1" applyBorder="1" applyAlignment="1">
      <alignment vertical="center" wrapText="1"/>
    </xf>
    <xf numFmtId="0" fontId="45" fillId="0" borderId="0" xfId="0" applyNumberFormat="1" applyFont="1" applyAlignment="1">
      <alignment vertical="center" wrapText="1"/>
    </xf>
    <xf numFmtId="0" fontId="4" fillId="3" borderId="0" xfId="0" applyNumberFormat="1" applyFont="1" applyFill="1" applyAlignment="1">
      <alignment horizontal="right" vertical="center" wrapText="1"/>
    </xf>
    <xf numFmtId="0" fontId="4" fillId="0" borderId="33" xfId="0" applyNumberFormat="1" applyFont="1" applyBorder="1" applyAlignment="1">
      <alignment horizontal="left" vertical="top" wrapText="1" indent="1"/>
    </xf>
    <xf numFmtId="0" fontId="4" fillId="0" borderId="4" xfId="0" applyNumberFormat="1" applyFont="1" applyBorder="1" applyAlignment="1">
      <alignment horizontal="left" vertical="top" wrapText="1" indent="1"/>
    </xf>
    <xf numFmtId="0" fontId="4" fillId="0" borderId="14" xfId="0" applyNumberFormat="1" applyFont="1" applyBorder="1" applyAlignment="1">
      <alignment horizontal="left" vertical="top" wrapText="1" indent="1"/>
    </xf>
    <xf numFmtId="0" fontId="4" fillId="0" borderId="17" xfId="0" applyNumberFormat="1" applyFont="1" applyBorder="1" applyAlignment="1">
      <alignment horizontal="left" vertical="center" wrapText="1" indent="1"/>
    </xf>
    <xf numFmtId="0" fontId="4" fillId="0" borderId="15" xfId="0" applyNumberFormat="1" applyFont="1" applyBorder="1" applyAlignment="1">
      <alignment horizontal="left" vertical="center" wrapText="1" indent="1"/>
    </xf>
    <xf numFmtId="0" fontId="4" fillId="3" borderId="0" xfId="0" applyNumberFormat="1" applyFont="1" applyFill="1" applyAlignment="1">
      <alignment horizontal="right" vertical="center"/>
    </xf>
    <xf numFmtId="0" fontId="0" fillId="0" borderId="3" xfId="0" applyNumberFormat="1" applyFont="1" applyBorder="1" applyAlignment="1">
      <alignment horizontal="left" vertical="top" wrapText="1"/>
    </xf>
    <xf numFmtId="0" fontId="4" fillId="0" borderId="10" xfId="0" applyNumberFormat="1" applyFont="1" applyBorder="1" applyAlignment="1">
      <alignment horizontal="left" vertical="top" wrapText="1"/>
    </xf>
    <xf numFmtId="49" fontId="17" fillId="12" borderId="7" xfId="0" applyNumberFormat="1" applyFont="1" applyFill="1" applyBorder="1" applyAlignment="1">
      <alignment horizontal="left" vertical="center" indent="2"/>
    </xf>
    <xf numFmtId="0" fontId="4" fillId="0" borderId="8" xfId="0" applyNumberFormat="1" applyFont="1" applyBorder="1" applyAlignment="1">
      <alignment vertical="center" wrapText="1"/>
    </xf>
    <xf numFmtId="49" fontId="17" fillId="0" borderId="8" xfId="0" applyNumberFormat="1" applyFont="1" applyBorder="1" applyAlignment="1">
      <alignment horizontal="left" vertical="center"/>
    </xf>
    <xf numFmtId="49" fontId="17" fillId="0" borderId="8" xfId="0" applyNumberFormat="1" applyFont="1" applyBorder="1" applyAlignment="1">
      <alignment horizontal="left" vertical="center" indent="2"/>
    </xf>
    <xf numFmtId="49" fontId="46" fillId="0" borderId="8" xfId="0" applyNumberFormat="1" applyFont="1" applyBorder="1" applyAlignment="1">
      <alignment horizontal="center" vertical="top"/>
    </xf>
    <xf numFmtId="0" fontId="4" fillId="0" borderId="8" xfId="0" applyNumberFormat="1" applyFont="1" applyBorder="1" applyAlignment="1">
      <alignment horizontal="left" vertical="top" wrapText="1"/>
    </xf>
    <xf numFmtId="0" fontId="4" fillId="0" borderId="0" xfId="0" applyNumberFormat="1" applyFont="1" applyAlignment="1">
      <alignment horizontal="right" vertical="top" wrapText="1"/>
    </xf>
    <xf numFmtId="0" fontId="4" fillId="0" borderId="0" xfId="0" applyNumberFormat="1" applyFont="1" applyAlignment="1">
      <alignment horizontal="left" vertical="center" wrapText="1" indent="2"/>
    </xf>
    <xf numFmtId="49" fontId="4" fillId="0" borderId="0" xfId="0" applyNumberFormat="1" applyFont="1" applyAlignment="1">
      <alignment vertical="top" wrapText="1"/>
    </xf>
    <xf numFmtId="0" fontId="4" fillId="0" borderId="0" xfId="0" applyNumberFormat="1" applyFont="1" applyAlignment="1">
      <alignment vertical="top" wrapText="1"/>
    </xf>
    <xf numFmtId="0" fontId="0" fillId="2" borderId="3" xfId="0" applyNumberFormat="1" applyFont="1" applyFill="1" applyBorder="1" applyAlignment="1">
      <alignment horizontal="center" vertical="center" wrapText="1"/>
    </xf>
    <xf numFmtId="0" fontId="4" fillId="0" borderId="7" xfId="0" applyNumberFormat="1" applyFont="1" applyBorder="1" applyAlignment="1">
      <alignment horizontal="left" vertical="top" wrapText="1" indent="1"/>
    </xf>
    <xf numFmtId="0" fontId="0" fillId="3" borderId="6" xfId="0" applyNumberFormat="1" applyFont="1" applyFill="1" applyBorder="1" applyAlignment="1">
      <alignment horizontal="right" vertical="center" wrapText="1" indent="1"/>
    </xf>
    <xf numFmtId="186" fontId="4" fillId="2" borderId="3" xfId="0" applyNumberFormat="1" applyFont="1" applyFill="1" applyBorder="1" applyAlignment="1">
      <alignment horizontal="left" vertical="center" wrapText="1" indent="1"/>
    </xf>
    <xf numFmtId="49" fontId="27" fillId="3" borderId="8" xfId="0" applyNumberFormat="1" applyFont="1" applyFill="1" applyBorder="1" applyAlignment="1">
      <alignment horizontal="center" vertical="center" wrapText="1"/>
    </xf>
    <xf numFmtId="49" fontId="0" fillId="3" borderId="4" xfId="0" applyNumberFormat="1" applyFont="1" applyFill="1" applyBorder="1" applyAlignment="1">
      <alignment horizontal="center" vertical="center" wrapText="1"/>
    </xf>
    <xf numFmtId="0" fontId="0" fillId="0" borderId="4" xfId="0" applyNumberFormat="1" applyFont="1" applyBorder="1" applyAlignment="1">
      <alignment horizontal="left" vertical="center" wrapText="1"/>
    </xf>
    <xf numFmtId="0" fontId="9" fillId="3" borderId="0" xfId="0" applyNumberFormat="1" applyFont="1" applyFill="1" applyAlignment="1">
      <alignment horizontal="center" vertical="top" wrapText="1"/>
    </xf>
    <xf numFmtId="0" fontId="0" fillId="2" borderId="6" xfId="0" applyNumberFormat="1" applyFont="1" applyFill="1" applyBorder="1" applyAlignment="1">
      <alignment horizontal="left" vertical="center" wrapText="1" indent="1"/>
    </xf>
    <xf numFmtId="49" fontId="17" fillId="12" borderId="9" xfId="0" applyNumberFormat="1" applyFont="1" applyFill="1" applyBorder="1" applyAlignment="1">
      <alignment horizontal="left" vertical="center" indent="2"/>
    </xf>
    <xf numFmtId="0" fontId="9" fillId="3" borderId="12" xfId="0" applyNumberFormat="1" applyFont="1" applyFill="1" applyBorder="1" applyAlignment="1">
      <alignment horizontal="center" vertical="top" wrapText="1"/>
    </xf>
    <xf numFmtId="49" fontId="0" fillId="3" borderId="11" xfId="0" applyNumberFormat="1" applyFont="1" applyFill="1" applyBorder="1" applyAlignment="1">
      <alignment horizontal="center" vertical="center" wrapText="1"/>
    </xf>
    <xf numFmtId="0" fontId="0" fillId="2" borderId="11" xfId="0" applyNumberFormat="1" applyFont="1" applyFill="1" applyBorder="1" applyAlignment="1">
      <alignment horizontal="left" vertical="center" wrapText="1" indent="1"/>
    </xf>
    <xf numFmtId="186" fontId="0" fillId="13" borderId="13" xfId="0" applyNumberFormat="1" applyFont="1" applyFill="1" applyBorder="1" applyAlignment="1" applyProtection="1">
      <alignment horizontal="left" vertical="center" wrapText="1"/>
      <protection locked="0"/>
    </xf>
    <xf numFmtId="186" fontId="0" fillId="13" borderId="6" xfId="0" applyNumberFormat="1" applyFont="1" applyFill="1" applyBorder="1" applyAlignment="1" applyProtection="1">
      <alignment horizontal="left" vertical="center" wrapText="1"/>
      <protection locked="0"/>
    </xf>
    <xf numFmtId="0" fontId="0" fillId="0" borderId="10" xfId="0" applyNumberFormat="1" applyFont="1" applyBorder="1" applyAlignment="1">
      <alignment horizontal="center" vertical="center" wrapText="1"/>
    </xf>
    <xf numFmtId="0" fontId="59" fillId="0" borderId="0" xfId="0" applyNumberFormat="1" applyFont="1" applyAlignment="1">
      <alignment vertical="center" wrapText="1"/>
    </xf>
    <xf numFmtId="0" fontId="4" fillId="3" borderId="7" xfId="0" applyNumberFormat="1" applyFont="1" applyFill="1" applyBorder="1" applyAlignment="1">
      <alignment horizontal="center" vertical="center" wrapText="1"/>
    </xf>
    <xf numFmtId="0" fontId="4" fillId="3" borderId="13" xfId="0" applyNumberFormat="1" applyFont="1" applyFill="1" applyBorder="1" applyAlignment="1">
      <alignment horizontal="center" vertical="center" wrapText="1"/>
    </xf>
    <xf numFmtId="49" fontId="0" fillId="3" borderId="6" xfId="0" applyNumberFormat="1" applyFont="1" applyFill="1" applyBorder="1" applyAlignment="1">
      <alignment horizontal="center" vertical="center" wrapText="1"/>
    </xf>
    <xf numFmtId="0" fontId="4" fillId="0" borderId="3" xfId="0" applyNumberFormat="1" applyFont="1" applyBorder="1" applyAlignment="1">
      <alignment vertical="top" wrapText="1"/>
    </xf>
    <xf numFmtId="0" fontId="4" fillId="0" borderId="4" xfId="0" applyNumberFormat="1" applyFont="1" applyBorder="1" applyAlignment="1">
      <alignment vertical="top" wrapText="1"/>
    </xf>
    <xf numFmtId="49" fontId="4" fillId="0" borderId="8" xfId="0" applyNumberFormat="1" applyFont="1" applyBorder="1">
      <alignment vertical="top"/>
    </xf>
    <xf numFmtId="0" fontId="2" fillId="0" borderId="0" xfId="0" applyNumberFormat="1" applyFont="1" applyAlignment="1">
      <alignment horizontal="right" vertical="top" wrapText="1"/>
    </xf>
    <xf numFmtId="0" fontId="0" fillId="13"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186" fontId="0" fillId="13" borderId="3" xfId="0" applyNumberFormat="1" applyFont="1" applyFill="1" applyBorder="1" applyAlignment="1" applyProtection="1">
      <alignment horizontal="left" vertical="center" wrapText="1"/>
      <protection locked="0"/>
    </xf>
    <xf numFmtId="49" fontId="17" fillId="12" borderId="7" xfId="0" applyNumberFormat="1" applyFont="1" applyFill="1" applyBorder="1" applyAlignment="1">
      <alignment horizontal="left" vertical="center" indent="3"/>
    </xf>
    <xf numFmtId="0" fontId="0" fillId="13" borderId="3" xfId="0" applyNumberFormat="1" applyFont="1" applyFill="1" applyBorder="1" applyAlignment="1" applyProtection="1">
      <alignment horizontal="left" vertical="center" wrapText="1" indent="2"/>
      <protection locked="0"/>
    </xf>
    <xf numFmtId="49" fontId="45" fillId="13" borderId="6" xfId="0" applyNumberFormat="1" applyFont="1" applyFill="1" applyBorder="1" applyAlignment="1" applyProtection="1">
      <alignment horizontal="left" vertical="center" wrapText="1"/>
      <protection locked="0"/>
    </xf>
    <xf numFmtId="49" fontId="21" fillId="0" borderId="3" xfId="0" applyNumberFormat="1" applyFont="1" applyBorder="1" applyAlignment="1">
      <alignment horizontal="center" vertical="center" wrapText="1"/>
    </xf>
    <xf numFmtId="0" fontId="21" fillId="0" borderId="3" xfId="0" applyNumberFormat="1" applyFont="1" applyBorder="1" applyAlignment="1">
      <alignment horizontal="left" vertical="center" wrapText="1" indent="2"/>
    </xf>
    <xf numFmtId="49" fontId="60" fillId="0" borderId="6" xfId="0" applyNumberFormat="1" applyFont="1" applyBorder="1" applyAlignment="1">
      <alignment horizontal="left" vertical="center" wrapText="1"/>
    </xf>
    <xf numFmtId="0" fontId="4" fillId="0" borderId="11" xfId="0" applyNumberFormat="1" applyFont="1" applyBorder="1" applyAlignment="1">
      <alignment vertical="top" wrapText="1"/>
    </xf>
    <xf numFmtId="187" fontId="4" fillId="13" borderId="6" xfId="0" applyNumberFormat="1" applyFont="1" applyFill="1" applyBorder="1" applyAlignment="1" applyProtection="1">
      <alignment vertical="center" wrapText="1"/>
      <protection locked="0"/>
    </xf>
    <xf numFmtId="49" fontId="4" fillId="11" borderId="6" xfId="0" applyNumberFormat="1" applyFont="1" applyFill="1" applyBorder="1" applyAlignment="1" applyProtection="1">
      <alignment horizontal="left" vertical="center" wrapText="1"/>
      <protection locked="0"/>
    </xf>
    <xf numFmtId="185" fontId="4" fillId="2" borderId="6" xfId="0" applyNumberFormat="1" applyFont="1" applyFill="1" applyBorder="1" applyAlignment="1">
      <alignment horizontal="right" vertical="center" wrapText="1"/>
    </xf>
    <xf numFmtId="0" fontId="8" fillId="0" borderId="3" xfId="0" applyNumberFormat="1" applyFont="1" applyBorder="1" applyAlignment="1">
      <alignment vertical="top" wrapText="1"/>
    </xf>
    <xf numFmtId="49" fontId="4" fillId="0" borderId="0" xfId="0" applyNumberFormat="1" applyFont="1" applyAlignment="1">
      <alignment horizontal="center" vertical="top" wrapText="1"/>
    </xf>
    <xf numFmtId="49" fontId="23" fillId="0" borderId="0" xfId="0" applyNumberFormat="1" applyFont="1" applyAlignment="1">
      <alignment horizontal="center" vertical="center" wrapText="1"/>
    </xf>
    <xf numFmtId="49" fontId="23" fillId="0" borderId="0" xfId="0" applyNumberFormat="1" applyFont="1" applyAlignment="1">
      <alignment vertical="center" wrapText="1"/>
    </xf>
    <xf numFmtId="49" fontId="37" fillId="0" borderId="0" xfId="0" applyNumberFormat="1" applyFont="1" applyAlignment="1">
      <alignment vertical="center" wrapText="1"/>
    </xf>
    <xf numFmtId="49" fontId="20" fillId="0" borderId="0" xfId="0" applyNumberFormat="1" applyFont="1" applyAlignment="1">
      <alignment horizontal="center" vertical="top" wrapText="1"/>
    </xf>
    <xf numFmtId="49" fontId="4" fillId="3" borderId="0" xfId="0" applyNumberFormat="1" applyFont="1" applyFill="1" applyAlignment="1">
      <alignment horizontal="center" vertical="top" wrapText="1"/>
    </xf>
    <xf numFmtId="49" fontId="20"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23" fillId="0" borderId="0" xfId="0" applyNumberFormat="1" applyFont="1" applyAlignment="1">
      <alignment horizontal="center" vertical="center" wrapText="1"/>
    </xf>
    <xf numFmtId="49" fontId="4" fillId="0" borderId="6"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23" fillId="3" borderId="0" xfId="0" applyNumberFormat="1" applyFont="1" applyFill="1" applyAlignment="1">
      <alignment vertical="center" wrapText="1"/>
    </xf>
    <xf numFmtId="49" fontId="27" fillId="0" borderId="3" xfId="0" applyNumberFormat="1" applyFont="1" applyBorder="1" applyAlignment="1">
      <alignment horizontal="center" vertical="center"/>
    </xf>
    <xf numFmtId="49" fontId="8" fillId="0" borderId="4" xfId="0" applyNumberFormat="1" applyFont="1" applyBorder="1" applyAlignment="1">
      <alignment horizontal="center" vertical="center"/>
    </xf>
    <xf numFmtId="49" fontId="4" fillId="0" borderId="4" xfId="0" applyNumberFormat="1" applyFont="1" applyBorder="1" applyAlignment="1">
      <alignment horizontal="center" vertical="center"/>
    </xf>
    <xf numFmtId="0" fontId="4" fillId="0" borderId="4" xfId="0" applyNumberFormat="1" applyFont="1" applyBorder="1" applyAlignment="1">
      <alignment horizontal="right" vertical="center"/>
    </xf>
    <xf numFmtId="0" fontId="4" fillId="20" borderId="6" xfId="0" applyNumberFormat="1" applyFont="1" applyFill="1" applyBorder="1" applyAlignment="1">
      <alignment horizontal="center" vertical="center" wrapText="1"/>
    </xf>
    <xf numFmtId="0" fontId="4" fillId="20" borderId="7" xfId="0" applyNumberFormat="1" applyFont="1" applyFill="1" applyBorder="1" applyAlignment="1">
      <alignment horizontal="center" vertical="center" wrapText="1"/>
    </xf>
    <xf numFmtId="49" fontId="4" fillId="14" borderId="3" xfId="0" applyNumberFormat="1" applyFont="1" applyFill="1" applyBorder="1" applyAlignment="1">
      <alignment horizontal="center" vertical="center" wrapText="1"/>
    </xf>
    <xf numFmtId="0" fontId="4" fillId="3" borderId="14" xfId="0" applyNumberFormat="1" applyFont="1" applyFill="1" applyBorder="1" applyAlignment="1">
      <alignment horizontal="center" vertical="center" wrapText="1"/>
    </xf>
    <xf numFmtId="0" fontId="4" fillId="3" borderId="33" xfId="0" applyNumberFormat="1" applyFont="1" applyFill="1" applyBorder="1" applyAlignment="1">
      <alignment horizontal="center" vertical="center" wrapText="1"/>
    </xf>
    <xf numFmtId="0" fontId="4" fillId="3" borderId="15" xfId="0" applyNumberFormat="1" applyFont="1" applyFill="1" applyBorder="1" applyAlignment="1">
      <alignment horizontal="center" vertical="center" wrapText="1"/>
    </xf>
    <xf numFmtId="0" fontId="4" fillId="3" borderId="17" xfId="0" applyNumberFormat="1" applyFont="1" applyFill="1" applyBorder="1" applyAlignment="1">
      <alignment horizontal="center" vertical="center" wrapText="1"/>
    </xf>
    <xf numFmtId="49" fontId="27" fillId="14" borderId="3" xfId="0" applyNumberFormat="1" applyFont="1" applyFill="1" applyBorder="1" applyAlignment="1">
      <alignment horizontal="center" vertical="center"/>
    </xf>
    <xf numFmtId="0" fontId="4" fillId="3" borderId="16" xfId="0" applyNumberFormat="1" applyFont="1" applyFill="1" applyBorder="1" applyAlignment="1">
      <alignment horizontal="center" vertical="center" wrapText="1"/>
    </xf>
    <xf numFmtId="0" fontId="27" fillId="0" borderId="3" xfId="0" applyNumberFormat="1" applyFont="1" applyBorder="1" applyAlignment="1">
      <alignment horizontal="center" vertical="center"/>
    </xf>
    <xf numFmtId="0" fontId="4" fillId="0" borderId="4" xfId="0" applyNumberFormat="1" applyFont="1" applyBorder="1" applyAlignment="1">
      <alignment horizontal="center" vertical="center"/>
    </xf>
    <xf numFmtId="185" fontId="23" fillId="3" borderId="0" xfId="0" applyNumberFormat="1" applyFont="1" applyFill="1" applyAlignment="1">
      <alignment vertical="center"/>
    </xf>
    <xf numFmtId="0" fontId="4" fillId="14" borderId="3" xfId="0" applyNumberFormat="1" applyFont="1" applyFill="1" applyBorder="1" applyAlignment="1">
      <alignment horizontal="center" vertical="center" wrapText="1"/>
    </xf>
    <xf numFmtId="0" fontId="4" fillId="20" borderId="13" xfId="0" applyNumberFormat="1" applyFont="1" applyFill="1" applyBorder="1" applyAlignment="1">
      <alignment horizontal="center" vertical="center" wrapText="1"/>
    </xf>
    <xf numFmtId="49" fontId="8" fillId="17" borderId="6" xfId="0" applyNumberFormat="1" applyFont="1" applyFill="1" applyBorder="1" applyAlignment="1">
      <alignment horizontal="center" vertical="center" wrapText="1"/>
    </xf>
    <xf numFmtId="0" fontId="4" fillId="14" borderId="6" xfId="0" applyNumberFormat="1" applyFont="1" applyFill="1" applyBorder="1" applyAlignment="1">
      <alignment horizontal="center" vertical="center" wrapText="1"/>
    </xf>
    <xf numFmtId="49" fontId="27" fillId="0" borderId="11" xfId="0" applyNumberFormat="1" applyFont="1" applyBorder="1" applyAlignment="1">
      <alignment horizontal="center" vertical="center"/>
    </xf>
    <xf numFmtId="49" fontId="38" fillId="0" borderId="0" xfId="0" applyNumberFormat="1" applyFont="1" applyAlignment="1">
      <alignment vertical="center" wrapText="1"/>
    </xf>
    <xf numFmtId="49" fontId="8" fillId="17" borderId="7" xfId="0" applyNumberFormat="1" applyFont="1" applyFill="1" applyBorder="1" applyAlignment="1">
      <alignment horizontal="center" vertical="center" wrapText="1"/>
    </xf>
    <xf numFmtId="0" fontId="4" fillId="14" borderId="13" xfId="0" applyNumberFormat="1" applyFont="1" applyFill="1" applyBorder="1" applyAlignment="1">
      <alignment horizontal="center" vertical="center" wrapText="1"/>
    </xf>
    <xf numFmtId="49" fontId="8" fillId="17" borderId="13" xfId="0" applyNumberFormat="1" applyFont="1" applyFill="1" applyBorder="1" applyAlignment="1">
      <alignment horizontal="center" vertical="center" wrapText="1"/>
    </xf>
    <xf numFmtId="49" fontId="8" fillId="21" borderId="6" xfId="0" applyNumberFormat="1" applyFont="1" applyFill="1" applyBorder="1" applyAlignment="1">
      <alignment horizontal="center" vertical="center" wrapText="1"/>
    </xf>
    <xf numFmtId="49" fontId="8" fillId="21" borderId="7" xfId="0" applyNumberFormat="1" applyFont="1" applyFill="1" applyBorder="1" applyAlignment="1">
      <alignment horizontal="center" vertical="center" wrapText="1"/>
    </xf>
    <xf numFmtId="49" fontId="8" fillId="21" borderId="13" xfId="0" applyNumberFormat="1" applyFont="1" applyFill="1" applyBorder="1" applyAlignment="1">
      <alignment horizontal="center" vertical="center" wrapText="1"/>
    </xf>
    <xf numFmtId="49" fontId="4" fillId="22" borderId="6" xfId="0" applyNumberFormat="1" applyFont="1" applyFill="1" applyBorder="1" applyAlignment="1">
      <alignment horizontal="center" vertical="center" wrapText="1"/>
    </xf>
    <xf numFmtId="49" fontId="4" fillId="22" borderId="7" xfId="0" applyNumberFormat="1" applyFont="1" applyFill="1" applyBorder="1" applyAlignment="1">
      <alignment horizontal="center" vertical="center" wrapText="1"/>
    </xf>
    <xf numFmtId="49" fontId="4" fillId="14" borderId="8" xfId="0" applyNumberFormat="1" applyFont="1" applyFill="1" applyBorder="1" applyAlignment="1">
      <alignment horizontal="center" vertical="center" wrapText="1"/>
    </xf>
    <xf numFmtId="49" fontId="4" fillId="14" borderId="0" xfId="0" applyNumberFormat="1" applyFont="1" applyFill="1" applyAlignment="1">
      <alignment horizontal="center" vertical="center" wrapText="1"/>
    </xf>
    <xf numFmtId="49" fontId="4" fillId="14" borderId="9" xfId="0" applyNumberFormat="1" applyFont="1" applyFill="1" applyBorder="1" applyAlignment="1">
      <alignment horizontal="center" vertical="center" wrapText="1"/>
    </xf>
    <xf numFmtId="0" fontId="4" fillId="3" borderId="8" xfId="0" applyNumberFormat="1" applyFont="1" applyFill="1" applyBorder="1" applyAlignment="1">
      <alignment vertical="center" wrapText="1"/>
    </xf>
    <xf numFmtId="0" fontId="10" fillId="0" borderId="42" xfId="0" applyNumberFormat="1" applyFont="1" applyBorder="1" applyAlignment="1">
      <alignment vertical="center" wrapText="1"/>
    </xf>
    <xf numFmtId="0" fontId="4" fillId="0" borderId="43" xfId="0" applyNumberFormat="1" applyFont="1" applyBorder="1" applyAlignment="1">
      <alignment horizontal="center" vertical="center"/>
    </xf>
    <xf numFmtId="0" fontId="4" fillId="0" borderId="27" xfId="0" applyNumberFormat="1" applyFont="1" applyBorder="1" applyAlignment="1">
      <alignment horizontal="center" vertical="center"/>
    </xf>
    <xf numFmtId="49" fontId="0" fillId="0" borderId="4" xfId="0" applyNumberFormat="1" applyFont="1" applyBorder="1" applyAlignment="1">
      <alignment horizontal="center" vertical="center" wrapText="1"/>
    </xf>
    <xf numFmtId="49" fontId="0" fillId="0" borderId="10" xfId="0" applyNumberFormat="1" applyFont="1" applyBorder="1" applyAlignment="1">
      <alignment horizontal="center" vertical="center" wrapText="1"/>
    </xf>
    <xf numFmtId="49" fontId="0" fillId="0" borderId="11" xfId="0" applyNumberFormat="1" applyFont="1" applyBorder="1" applyAlignment="1">
      <alignment horizontal="center" vertical="center" wrapText="1"/>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left" vertical="center" wrapText="1" indent="3"/>
    </xf>
    <xf numFmtId="0" fontId="4" fillId="0" borderId="44" xfId="0" applyNumberFormat="1" applyFont="1" applyBorder="1" applyAlignment="1">
      <alignment vertical="center"/>
    </xf>
    <xf numFmtId="49" fontId="4" fillId="0" borderId="16" xfId="0" applyNumberFormat="1" applyFont="1" applyBorder="1">
      <alignment vertical="top"/>
    </xf>
    <xf numFmtId="49" fontId="0" fillId="2" borderId="3" xfId="0" applyNumberFormat="1" applyFont="1" applyFill="1" applyBorder="1" applyAlignment="1">
      <alignment horizontal="center" vertical="center"/>
    </xf>
    <xf numFmtId="185" fontId="0" fillId="11" borderId="3" xfId="0" applyNumberFormat="1" applyFont="1" applyFill="1" applyBorder="1" applyAlignment="1" applyProtection="1">
      <alignment horizontal="right" vertical="center" wrapText="1"/>
      <protection locked="0"/>
    </xf>
    <xf numFmtId="0" fontId="4" fillId="3" borderId="42" xfId="0" applyNumberFormat="1" applyFont="1" applyFill="1" applyBorder="1" applyAlignment="1">
      <alignment vertical="center" wrapText="1"/>
    </xf>
    <xf numFmtId="0" fontId="4" fillId="0" borderId="45" xfId="0" applyNumberFormat="1" applyFont="1" applyBorder="1" applyAlignment="1">
      <alignment horizontal="center" vertical="center"/>
    </xf>
    <xf numFmtId="0" fontId="4" fillId="0" borderId="46" xfId="0" applyNumberFormat="1" applyFont="1" applyBorder="1" applyAlignment="1">
      <alignment horizontal="center" vertical="center"/>
    </xf>
    <xf numFmtId="49" fontId="61" fillId="0" borderId="0" xfId="0" applyNumberFormat="1" applyFont="1" applyAlignment="1">
      <alignment horizontal="center" vertical="center" wrapText="1"/>
    </xf>
    <xf numFmtId="0" fontId="4" fillId="0" borderId="0" xfId="0" applyNumberFormat="1" applyFont="1" applyAlignment="1">
      <alignment horizontal="left" vertical="center" wrapText="1" indent="3"/>
    </xf>
    <xf numFmtId="49" fontId="16" fillId="0" borderId="42" xfId="0" applyNumberFormat="1" applyFont="1" applyBorder="1">
      <alignment vertical="top"/>
    </xf>
    <xf numFmtId="0" fontId="3" fillId="3" borderId="42" xfId="0" applyNumberFormat="1" applyFont="1" applyFill="1" applyBorder="1" applyAlignment="1">
      <alignment horizontal="center" wrapText="1"/>
    </xf>
    <xf numFmtId="0" fontId="4" fillId="0" borderId="14" xfId="0" applyNumberFormat="1" applyFont="1" applyBorder="1" applyAlignment="1">
      <alignment horizontal="center" vertical="center" wrapText="1"/>
    </xf>
    <xf numFmtId="0" fontId="4" fillId="0" borderId="33" xfId="0" applyNumberFormat="1" applyFont="1" applyBorder="1" applyAlignment="1">
      <alignment horizontal="center" vertical="center" wrapText="1"/>
    </xf>
    <xf numFmtId="0" fontId="4" fillId="0" borderId="16" xfId="0" applyNumberFormat="1" applyFont="1" applyBorder="1" applyAlignment="1">
      <alignment horizontal="center" vertical="center" wrapText="1"/>
    </xf>
    <xf numFmtId="0" fontId="4" fillId="0" borderId="12"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4" fillId="0" borderId="17" xfId="0" applyNumberFormat="1" applyFont="1" applyBorder="1" applyAlignment="1">
      <alignment horizontal="center" vertical="center" wrapText="1"/>
    </xf>
    <xf numFmtId="0" fontId="4" fillId="0" borderId="47" xfId="0" applyNumberFormat="1" applyFont="1" applyBorder="1" applyAlignment="1">
      <alignment horizontal="center" vertical="center"/>
    </xf>
    <xf numFmtId="0" fontId="4" fillId="0" borderId="44" xfId="0" applyNumberFormat="1" applyFont="1" applyBorder="1" applyAlignment="1">
      <alignment vertical="center" wrapText="1"/>
    </xf>
    <xf numFmtId="49" fontId="17" fillId="12" borderId="6" xfId="0" applyNumberFormat="1" applyFont="1" applyFill="1" applyBorder="1" applyAlignment="1">
      <alignment horizontal="left" vertical="center" indent="1"/>
    </xf>
    <xf numFmtId="0" fontId="0" fillId="3" borderId="4" xfId="0" applyNumberFormat="1" applyFont="1" applyFill="1" applyBorder="1" applyAlignment="1">
      <alignment horizontal="center" vertical="center" wrapText="1"/>
    </xf>
    <xf numFmtId="0" fontId="0" fillId="3" borderId="14" xfId="0" applyNumberFormat="1" applyFont="1" applyFill="1" applyBorder="1" applyAlignment="1">
      <alignment horizontal="center" vertical="center" wrapText="1"/>
    </xf>
    <xf numFmtId="0" fontId="4" fillId="12" borderId="9" xfId="0" applyNumberFormat="1" applyFont="1" applyFill="1" applyBorder="1" applyAlignment="1">
      <alignment vertical="center" wrapText="1"/>
    </xf>
    <xf numFmtId="0" fontId="4" fillId="12" borderId="17" xfId="0" applyNumberFormat="1" applyFont="1" applyFill="1" applyBorder="1" applyAlignment="1">
      <alignment vertical="center" wrapText="1"/>
    </xf>
    <xf numFmtId="0" fontId="0" fillId="0" borderId="6" xfId="0" applyNumberFormat="1" applyFont="1" applyBorder="1" applyAlignment="1">
      <alignment horizontal="center" vertical="center"/>
    </xf>
    <xf numFmtId="186" fontId="0" fillId="11" borderId="3" xfId="0" applyNumberFormat="1" applyFont="1" applyFill="1" applyBorder="1" applyAlignment="1" applyProtection="1">
      <alignment horizontal="left" vertical="center" wrapText="1" indent="1"/>
      <protection locked="0"/>
    </xf>
    <xf numFmtId="49" fontId="0" fillId="0" borderId="6" xfId="0" applyNumberFormat="1" applyFont="1" applyBorder="1" applyAlignment="1">
      <alignment horizontal="center" vertical="center"/>
    </xf>
    <xf numFmtId="0" fontId="4" fillId="12" borderId="8" xfId="0" applyNumberFormat="1" applyFont="1" applyFill="1" applyBorder="1" applyAlignment="1">
      <alignment vertical="center" wrapText="1"/>
    </xf>
    <xf numFmtId="0" fontId="8" fillId="12" borderId="13" xfId="0" applyNumberFormat="1" applyFont="1" applyFill="1" applyBorder="1" applyAlignment="1">
      <alignment vertical="center" wrapText="1"/>
    </xf>
    <xf numFmtId="0" fontId="3" fillId="0" borderId="0" xfId="0" applyNumberFormat="1" applyFont="1" applyAlignment="1">
      <alignment horizontal="center" vertical="center" wrapText="1"/>
    </xf>
    <xf numFmtId="0" fontId="10" fillId="0" borderId="9" xfId="0" applyNumberFormat="1" applyFont="1" applyBorder="1" applyAlignment="1">
      <alignment vertical="center" wrapText="1"/>
    </xf>
    <xf numFmtId="0" fontId="4" fillId="2" borderId="6" xfId="0" applyNumberFormat="1" applyFont="1" applyFill="1" applyBorder="1" applyAlignment="1">
      <alignment horizontal="left" vertical="top" wrapText="1"/>
    </xf>
    <xf numFmtId="0" fontId="4" fillId="2" borderId="13" xfId="0" applyNumberFormat="1" applyFont="1" applyFill="1" applyBorder="1" applyAlignment="1">
      <alignment horizontal="left" vertical="top" wrapText="1"/>
    </xf>
    <xf numFmtId="49" fontId="4" fillId="23" borderId="0" xfId="0" applyNumberFormat="1" applyFont="1" applyFill="1" applyAlignment="1">
      <alignment horizontal="center" vertical="center" textRotation="90" wrapText="1"/>
    </xf>
    <xf numFmtId="185" fontId="4" fillId="0" borderId="3" xfId="0" applyNumberFormat="1" applyFont="1" applyBorder="1" applyAlignment="1">
      <alignment horizontal="center" vertical="center" wrapText="1"/>
    </xf>
    <xf numFmtId="185" fontId="4" fillId="13" borderId="3" xfId="0" applyNumberFormat="1" applyFont="1" applyFill="1" applyBorder="1" applyAlignment="1" applyProtection="1">
      <alignment horizontal="right" vertical="center" wrapText="1"/>
      <protection locked="0"/>
    </xf>
    <xf numFmtId="49" fontId="45" fillId="11" borderId="6" xfId="0" applyNumberFormat="1" applyFont="1" applyFill="1" applyBorder="1" applyAlignment="1" applyProtection="1">
      <alignment horizontal="left" vertical="center" wrapText="1"/>
      <protection locked="0"/>
    </xf>
    <xf numFmtId="0" fontId="4" fillId="0" borderId="3" xfId="0" applyNumberFormat="1" applyFont="1" applyBorder="1" applyAlignment="1">
      <alignment horizontal="left" vertical="center" wrapText="1" indent="2"/>
    </xf>
    <xf numFmtId="0" fontId="4" fillId="0" borderId="3" xfId="0" applyNumberFormat="1" applyFont="1" applyBorder="1" applyAlignment="1">
      <alignment horizontal="left" vertical="center" wrapText="1" indent="3"/>
    </xf>
    <xf numFmtId="0" fontId="23" fillId="0" borderId="0" xfId="0" applyNumberFormat="1" applyFont="1">
      <alignment vertical="top"/>
    </xf>
    <xf numFmtId="49" fontId="4" fillId="0" borderId="37" xfId="0" applyNumberFormat="1" applyFont="1" applyBorder="1" applyAlignment="1">
      <alignment horizontal="center" vertical="center" wrapText="1"/>
    </xf>
    <xf numFmtId="0" fontId="4" fillId="0" borderId="37" xfId="0" applyNumberFormat="1" applyFont="1" applyBorder="1" applyAlignment="1">
      <alignment horizontal="left" vertical="center" wrapText="1"/>
    </xf>
    <xf numFmtId="185" fontId="4" fillId="0" borderId="48" xfId="0" applyNumberFormat="1" applyFont="1" applyBorder="1" applyAlignment="1">
      <alignment horizontal="center" vertical="center" wrapText="1"/>
    </xf>
    <xf numFmtId="49" fontId="45" fillId="0" borderId="15" xfId="0" applyNumberFormat="1" applyFont="1" applyBorder="1" applyAlignment="1">
      <alignment horizontal="left" vertical="center" wrapText="1"/>
    </xf>
    <xf numFmtId="49" fontId="4" fillId="0" borderId="30" xfId="0" applyNumberFormat="1" applyFont="1" applyBorder="1" applyAlignment="1">
      <alignment horizontal="center" vertical="center" wrapText="1"/>
    </xf>
    <xf numFmtId="0" fontId="4" fillId="0" borderId="32" xfId="0" applyNumberFormat="1" applyFont="1" applyBorder="1" applyAlignment="1">
      <alignment horizontal="left" vertical="center" wrapText="1" indent="1"/>
    </xf>
    <xf numFmtId="49" fontId="45" fillId="0" borderId="6" xfId="0" applyNumberFormat="1" applyFont="1" applyBorder="1" applyAlignment="1">
      <alignment horizontal="left" vertical="center" wrapText="1"/>
    </xf>
    <xf numFmtId="185" fontId="4" fillId="13" borderId="49" xfId="0" applyNumberFormat="1" applyFont="1" applyFill="1" applyBorder="1" applyAlignment="1" applyProtection="1">
      <alignment horizontal="right" vertical="center" wrapText="1"/>
      <protection locked="0"/>
    </xf>
    <xf numFmtId="0" fontId="4" fillId="0" borderId="32" xfId="0" applyNumberFormat="1" applyFont="1" applyBorder="1" applyAlignment="1">
      <alignment horizontal="left" vertical="center" wrapText="1"/>
    </xf>
    <xf numFmtId="49" fontId="45" fillId="0" borderId="7" xfId="0" applyNumberFormat="1" applyFont="1" applyBorder="1" applyAlignment="1">
      <alignment horizontal="left" vertical="center" wrapText="1"/>
    </xf>
    <xf numFmtId="0" fontId="4" fillId="0" borderId="30" xfId="0" applyNumberFormat="1" applyFont="1" applyBorder="1" applyAlignment="1">
      <alignment horizontal="left" vertical="center" wrapText="1" indent="1"/>
    </xf>
    <xf numFmtId="185" fontId="4" fillId="0" borderId="37" xfId="0" applyNumberFormat="1" applyFont="1" applyBorder="1" applyAlignment="1">
      <alignment horizontal="center" vertical="center" wrapText="1"/>
    </xf>
    <xf numFmtId="185" fontId="4" fillId="13" borderId="11" xfId="0" applyNumberFormat="1" applyFont="1" applyFill="1" applyBorder="1" applyAlignment="1" applyProtection="1">
      <alignment horizontal="right" vertical="center" wrapText="1"/>
      <protection locked="0"/>
    </xf>
    <xf numFmtId="0" fontId="4" fillId="0" borderId="30" xfId="0" applyNumberFormat="1" applyFont="1" applyBorder="1" applyAlignment="1">
      <alignment horizontal="left" vertical="center" wrapText="1"/>
    </xf>
    <xf numFmtId="0" fontId="4" fillId="0" borderId="30" xfId="0" applyNumberFormat="1" applyFont="1" applyBorder="1" applyAlignment="1">
      <alignment horizontal="left" vertical="center" wrapText="1" indent="2"/>
    </xf>
    <xf numFmtId="185" fontId="4" fillId="0" borderId="30" xfId="0" applyNumberFormat="1" applyFont="1" applyBorder="1" applyAlignment="1">
      <alignment horizontal="center" vertical="center" wrapText="1"/>
    </xf>
    <xf numFmtId="49" fontId="4" fillId="0" borderId="40" xfId="0" applyNumberFormat="1" applyFont="1" applyBorder="1" applyAlignment="1">
      <alignment horizontal="center" vertical="center" wrapText="1"/>
    </xf>
    <xf numFmtId="0" fontId="59" fillId="0" borderId="16" xfId="0" applyNumberFormat="1" applyFont="1" applyBorder="1" applyAlignment="1">
      <alignment vertical="center" wrapText="1"/>
    </xf>
    <xf numFmtId="0" fontId="4" fillId="0" borderId="49" xfId="0" applyNumberFormat="1" applyFont="1" applyBorder="1" applyAlignment="1">
      <alignment horizontal="left" vertical="center" wrapText="1"/>
    </xf>
    <xf numFmtId="185" fontId="4" fillId="0" borderId="49" xfId="0" applyNumberFormat="1" applyFont="1" applyBorder="1" applyAlignment="1">
      <alignment horizontal="center" vertical="center" wrapText="1"/>
    </xf>
    <xf numFmtId="49" fontId="45" fillId="0" borderId="14" xfId="0" applyNumberFormat="1" applyFont="1" applyBorder="1" applyAlignment="1">
      <alignment horizontal="left" vertical="center" wrapText="1"/>
    </xf>
    <xf numFmtId="49" fontId="4" fillId="0" borderId="32" xfId="0" applyNumberFormat="1" applyFont="1" applyBorder="1" applyAlignment="1">
      <alignment horizontal="center" vertical="center" wrapText="1"/>
    </xf>
    <xf numFmtId="185" fontId="4" fillId="13" borderId="6" xfId="0" applyNumberFormat="1" applyFont="1" applyFill="1" applyBorder="1" applyAlignment="1" applyProtection="1">
      <alignment horizontal="right" vertical="center" wrapText="1"/>
      <protection locked="0"/>
    </xf>
    <xf numFmtId="185" fontId="4" fillId="0" borderId="32" xfId="0" applyNumberFormat="1" applyFont="1" applyBorder="1" applyAlignment="1">
      <alignment horizontal="center" vertical="center" wrapText="1"/>
    </xf>
    <xf numFmtId="185" fontId="4" fillId="13" borderId="40" xfId="0" applyNumberFormat="1" applyFont="1" applyFill="1" applyBorder="1" applyAlignment="1" applyProtection="1">
      <alignment horizontal="right" vertical="center" wrapText="1"/>
      <protection locked="0"/>
    </xf>
    <xf numFmtId="49" fontId="25" fillId="0" borderId="0" xfId="0" applyNumberFormat="1" applyFont="1" applyAlignment="1">
      <alignment horizontal="center" vertical="center" wrapText="1"/>
    </xf>
    <xf numFmtId="0" fontId="57" fillId="0" borderId="0" xfId="0" applyNumberFormat="1" applyFont="1" applyAlignment="1">
      <alignment vertical="center" wrapText="1"/>
    </xf>
    <xf numFmtId="0" fontId="62" fillId="3" borderId="0" xfId="0" applyNumberFormat="1" applyFont="1" applyFill="1" applyAlignment="1">
      <alignment horizontal="right" vertical="center"/>
    </xf>
    <xf numFmtId="0" fontId="10" fillId="0" borderId="6" xfId="0" applyNumberFormat="1" applyFont="1" applyBorder="1" applyAlignment="1">
      <alignment vertical="center" wrapText="1"/>
    </xf>
    <xf numFmtId="0" fontId="10" fillId="0" borderId="7" xfId="0" applyNumberFormat="1" applyFont="1" applyBorder="1" applyAlignment="1">
      <alignment horizontal="right" vertical="center" wrapText="1" indent="1"/>
    </xf>
    <xf numFmtId="0" fontId="10" fillId="0" borderId="13" xfId="0" applyNumberFormat="1" applyFont="1" applyBorder="1" applyAlignment="1">
      <alignment horizontal="right" vertical="center" wrapText="1" indent="1"/>
    </xf>
    <xf numFmtId="0" fontId="10" fillId="0" borderId="6" xfId="0" applyNumberFormat="1" applyFont="1" applyBorder="1" applyAlignment="1">
      <alignment horizontal="left" vertical="top" wrapText="1"/>
    </xf>
    <xf numFmtId="49" fontId="4" fillId="0" borderId="50" xfId="0" applyNumberFormat="1" applyFont="1" applyBorder="1" applyAlignment="1">
      <alignment horizontal="center" vertical="center" wrapText="1"/>
    </xf>
    <xf numFmtId="49" fontId="4" fillId="0" borderId="51" xfId="0" applyNumberFormat="1" applyFont="1" applyBorder="1" applyAlignment="1">
      <alignment horizontal="center" vertical="center" wrapText="1"/>
    </xf>
    <xf numFmtId="49" fontId="4" fillId="0" borderId="52" xfId="0" applyNumberFormat="1" applyFont="1" applyBorder="1" applyAlignment="1">
      <alignment horizontal="center" vertical="center" wrapText="1"/>
    </xf>
    <xf numFmtId="185" fontId="4" fillId="2" borderId="4" xfId="0" applyNumberFormat="1" applyFont="1" applyFill="1" applyBorder="1" applyAlignment="1">
      <alignment horizontal="right" vertical="center" wrapText="1"/>
    </xf>
    <xf numFmtId="0" fontId="10" fillId="0" borderId="3" xfId="0" applyNumberFormat="1" applyFont="1" applyBorder="1" applyAlignment="1">
      <alignment horizontal="left" vertical="center" wrapText="1" indent="3"/>
    </xf>
    <xf numFmtId="49" fontId="10" fillId="0" borderId="3" xfId="0" applyNumberFormat="1" applyFont="1" applyBorder="1" applyAlignment="1">
      <alignment vertical="center" wrapText="1"/>
    </xf>
    <xf numFmtId="49" fontId="4" fillId="12" borderId="6" xfId="0" applyNumberFormat="1" applyFont="1" applyFill="1" applyBorder="1" applyAlignment="1">
      <alignment vertical="center" wrapText="1"/>
    </xf>
    <xf numFmtId="49" fontId="17" fillId="12" borderId="8" xfId="0" applyNumberFormat="1" applyFont="1" applyFill="1" applyBorder="1" applyAlignment="1">
      <alignment horizontal="left" vertical="center" indent="2"/>
    </xf>
    <xf numFmtId="49" fontId="3" fillId="0" borderId="0" xfId="0" applyNumberFormat="1" applyFont="1" applyAlignment="1">
      <alignment horizontal="center" vertical="center"/>
    </xf>
    <xf numFmtId="184" fontId="4" fillId="11" borderId="3" xfId="0" applyNumberFormat="1" applyFont="1" applyFill="1" applyBorder="1" applyAlignment="1" applyProtection="1">
      <alignment horizontal="right" vertical="center" wrapText="1"/>
      <protection locked="0"/>
    </xf>
    <xf numFmtId="0" fontId="63" fillId="0" borderId="0" xfId="0" applyNumberFormat="1" applyFont="1" applyAlignment="1">
      <alignment vertical="center" wrapText="1"/>
    </xf>
    <xf numFmtId="0" fontId="4" fillId="0" borderId="13" xfId="0" applyNumberFormat="1" applyFont="1" applyBorder="1" applyAlignment="1">
      <alignment vertical="top" wrapText="1"/>
    </xf>
    <xf numFmtId="0" fontId="54" fillId="0" borderId="0" xfId="0" applyNumberFormat="1" applyFont="1" applyAlignment="1">
      <alignment vertical="center" wrapText="1"/>
    </xf>
    <xf numFmtId="0" fontId="10" fillId="0" borderId="4" xfId="0" applyNumberFormat="1" applyFont="1" applyBorder="1" applyAlignment="1">
      <alignment vertical="top" wrapText="1"/>
    </xf>
    <xf numFmtId="0" fontId="25" fillId="0" borderId="0" xfId="0" applyNumberFormat="1" applyFont="1" applyAlignment="1">
      <alignment vertical="center" wrapText="1"/>
    </xf>
    <xf numFmtId="0" fontId="4" fillId="0" borderId="8" xfId="0" applyNumberFormat="1" applyFont="1" applyBorder="1" applyAlignment="1">
      <alignment horizontal="left" vertical="center" wrapText="1" indent="1"/>
    </xf>
    <xf numFmtId="49" fontId="4" fillId="0" borderId="53" xfId="0" applyNumberFormat="1" applyFont="1" applyBorder="1" applyAlignment="1">
      <alignment horizontal="center" vertical="center" wrapText="1"/>
    </xf>
    <xf numFmtId="185" fontId="4" fillId="13" borderId="4" xfId="0" applyNumberFormat="1" applyFont="1" applyFill="1" applyBorder="1" applyAlignment="1" applyProtection="1">
      <alignment horizontal="right" vertical="center" wrapText="1"/>
      <protection locked="0"/>
    </xf>
    <xf numFmtId="49" fontId="25" fillId="24" borderId="0" xfId="0" applyNumberFormat="1" applyFont="1" applyFill="1" applyAlignment="1">
      <alignment horizontal="center" vertical="center" wrapText="1"/>
    </xf>
    <xf numFmtId="184" fontId="4" fillId="13" borderId="3" xfId="0" applyNumberFormat="1" applyFont="1" applyFill="1" applyBorder="1" applyAlignment="1" applyProtection="1">
      <alignment horizontal="right" vertical="center" wrapText="1"/>
      <protection locked="0"/>
    </xf>
    <xf numFmtId="0" fontId="8" fillId="25" borderId="3" xfId="0" applyNumberFormat="1" applyFont="1" applyFill="1" applyBorder="1" applyAlignment="1">
      <alignment horizontal="left" vertical="center" wrapText="1"/>
    </xf>
    <xf numFmtId="0" fontId="4" fillId="19" borderId="3" xfId="74" applyFont="1" applyFill="1" applyBorder="1" applyAlignment="1">
      <alignment vertical="center"/>
    </xf>
    <xf numFmtId="49" fontId="0" fillId="26" borderId="3" xfId="0" applyNumberFormat="1" applyFont="1" applyFill="1" applyBorder="1" applyAlignment="1">
      <alignment horizontal="center" vertical="center" wrapText="1"/>
    </xf>
    <xf numFmtId="49" fontId="64" fillId="0" borderId="4" xfId="0" applyNumberFormat="1" applyFont="1" applyBorder="1" applyAlignment="1">
      <alignment horizontal="center" vertical="center" wrapText="1"/>
    </xf>
    <xf numFmtId="49" fontId="64" fillId="0" borderId="3" xfId="0" applyNumberFormat="1" applyFont="1" applyBorder="1" applyAlignment="1">
      <alignment horizontal="center" vertical="center" wrapText="1"/>
    </xf>
    <xf numFmtId="0" fontId="25" fillId="0" borderId="0" xfId="0" applyNumberFormat="1" applyFont="1" applyAlignment="1">
      <alignment horizontal="center" vertical="center" wrapText="1"/>
    </xf>
    <xf numFmtId="0" fontId="4" fillId="0" borderId="8" xfId="0" applyNumberFormat="1" applyFont="1" applyBorder="1" applyAlignment="1">
      <alignment horizontal="right" vertical="center" wrapText="1" indent="1"/>
    </xf>
    <xf numFmtId="185" fontId="4" fillId="13" borderId="14" xfId="0" applyNumberFormat="1" applyFont="1" applyFill="1" applyBorder="1" applyAlignment="1" applyProtection="1">
      <alignment horizontal="right" vertical="center" wrapText="1"/>
      <protection locked="0"/>
    </xf>
    <xf numFmtId="0" fontId="10" fillId="0" borderId="3" xfId="0" applyNumberFormat="1" applyFont="1" applyBorder="1" applyAlignment="1">
      <alignment vertical="top" wrapText="1"/>
    </xf>
    <xf numFmtId="0" fontId="8" fillId="12" borderId="7" xfId="0" applyNumberFormat="1" applyFont="1" applyFill="1" applyBorder="1" applyAlignment="1">
      <alignment vertical="center" wrapText="1"/>
    </xf>
    <xf numFmtId="187" fontId="4" fillId="13" borderId="6" xfId="0" applyNumberFormat="1" applyFont="1" applyFill="1" applyBorder="1" applyAlignment="1" applyProtection="1">
      <alignment horizontal="right" vertical="center" wrapText="1"/>
      <protection locked="0"/>
    </xf>
    <xf numFmtId="187" fontId="4" fillId="13" borderId="3" xfId="0" applyNumberFormat="1" applyFont="1" applyFill="1" applyBorder="1" applyAlignment="1" applyProtection="1">
      <alignment horizontal="right" vertical="center" wrapText="1"/>
      <protection locked="0"/>
    </xf>
    <xf numFmtId="0" fontId="4" fillId="0" borderId="9" xfId="0" applyNumberFormat="1" applyFont="1" applyBorder="1" applyAlignment="1">
      <alignment vertical="center" wrapText="1"/>
    </xf>
    <xf numFmtId="49" fontId="63" fillId="0" borderId="0" xfId="0" applyNumberFormat="1" applyFont="1" applyAlignment="1">
      <alignment horizontal="center" vertical="center" wrapText="1"/>
    </xf>
    <xf numFmtId="0" fontId="7"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10" fillId="0" borderId="4" xfId="0" applyNumberFormat="1" applyFont="1" applyBorder="1" applyAlignment="1">
      <alignment horizontal="center" vertical="center" wrapText="1"/>
    </xf>
    <xf numFmtId="49" fontId="10" fillId="0" borderId="10"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49" fontId="17" fillId="0" borderId="8" xfId="0" applyNumberFormat="1" applyFont="1" applyBorder="1" applyAlignment="1">
      <alignment horizontal="right" vertical="center"/>
    </xf>
    <xf numFmtId="0" fontId="23" fillId="0" borderId="0" xfId="0" applyNumberFormat="1" applyFont="1" applyAlignment="1">
      <alignment horizontal="right" vertical="top" wrapText="1"/>
    </xf>
    <xf numFmtId="0" fontId="23" fillId="0" borderId="0" xfId="0" applyNumberFormat="1" applyFont="1" applyAlignment="1">
      <alignment horizontal="left" vertical="top" wrapText="1"/>
    </xf>
    <xf numFmtId="0" fontId="65" fillId="0" borderId="0" xfId="0" applyNumberFormat="1" applyFont="1" applyAlignment="1">
      <alignment horizontal="center" vertical="center" wrapText="1"/>
    </xf>
    <xf numFmtId="0" fontId="18" fillId="3" borderId="0" xfId="0" applyNumberFormat="1" applyFont="1" applyFill="1" applyAlignment="1">
      <alignment horizontal="right" vertical="center"/>
    </xf>
    <xf numFmtId="9" fontId="3" fillId="0" borderId="0" xfId="0" applyNumberFormat="1" applyFont="1" applyAlignment="1">
      <alignment horizontal="center" vertical="center" wrapText="1"/>
    </xf>
    <xf numFmtId="0" fontId="4" fillId="0" borderId="50" xfId="0" applyNumberFormat="1" applyFont="1" applyBorder="1" applyAlignment="1">
      <alignment horizontal="center" vertical="center" wrapText="1"/>
    </xf>
    <xf numFmtId="0" fontId="4" fillId="13" borderId="3" xfId="0" applyNumberFormat="1" applyFont="1" applyFill="1" applyBorder="1" applyAlignment="1" applyProtection="1">
      <alignment horizontal="left" vertical="center" wrapText="1" indent="2"/>
      <protection locked="0"/>
    </xf>
    <xf numFmtId="0" fontId="10" fillId="0" borderId="50" xfId="0" applyNumberFormat="1" applyFont="1" applyBorder="1" applyAlignment="1">
      <alignment horizontal="center" vertical="center" wrapText="1"/>
    </xf>
    <xf numFmtId="0" fontId="10" fillId="0" borderId="3" xfId="0" applyNumberFormat="1" applyFont="1" applyBorder="1" applyAlignment="1">
      <alignment horizontal="left" vertical="center" wrapText="1" indent="2"/>
    </xf>
    <xf numFmtId="49" fontId="4" fillId="13" borderId="3" xfId="0" applyNumberFormat="1" applyFont="1" applyFill="1" applyBorder="1" applyAlignment="1" applyProtection="1">
      <alignment horizontal="center" vertical="center" wrapText="1"/>
      <protection locked="0"/>
    </xf>
    <xf numFmtId="0" fontId="4" fillId="11" borderId="3" xfId="0" applyNumberFormat="1" applyFont="1" applyFill="1" applyBorder="1" applyAlignment="1" applyProtection="1">
      <alignment horizontal="left" vertical="center" wrapText="1"/>
      <protection locked="0"/>
    </xf>
    <xf numFmtId="49" fontId="25" fillId="24" borderId="0" xfId="0" applyNumberFormat="1" applyFont="1" applyFill="1" applyAlignment="1">
      <alignment horizontal="center" vertical="center" textRotation="90" wrapText="1"/>
    </xf>
    <xf numFmtId="49" fontId="7" fillId="0" borderId="50" xfId="0" applyNumberFormat="1" applyFont="1" applyBorder="1" applyAlignment="1">
      <alignment horizontal="center" vertical="center" wrapText="1"/>
    </xf>
    <xf numFmtId="0" fontId="7" fillId="0" borderId="3" xfId="0" applyNumberFormat="1" applyFont="1" applyBorder="1" applyAlignment="1">
      <alignment horizontal="left" vertical="center" wrapText="1" indent="2"/>
    </xf>
    <xf numFmtId="0" fontId="7" fillId="0" borderId="3" xfId="0" applyNumberFormat="1" applyFont="1" applyBorder="1" applyAlignment="1">
      <alignment horizontal="center" vertical="center" wrapText="1"/>
    </xf>
    <xf numFmtId="49" fontId="7" fillId="0" borderId="3" xfId="0" applyNumberFormat="1" applyFont="1" applyBorder="1" applyAlignment="1">
      <alignment horizontal="left" vertical="center" wrapText="1"/>
    </xf>
    <xf numFmtId="0" fontId="7" fillId="0" borderId="50" xfId="0" applyNumberFormat="1" applyFont="1" applyBorder="1" applyAlignment="1">
      <alignment horizontal="center" vertical="center" wrapText="1"/>
    </xf>
    <xf numFmtId="0" fontId="7" fillId="0" borderId="3" xfId="0" applyNumberFormat="1" applyFont="1" applyBorder="1" applyAlignment="1">
      <alignment horizontal="left" vertical="center" wrapText="1" indent="3"/>
    </xf>
    <xf numFmtId="185" fontId="7" fillId="0" borderId="3" xfId="0" applyNumberFormat="1" applyFont="1" applyBorder="1" applyAlignment="1">
      <alignment horizontal="right" vertical="center" wrapText="1"/>
    </xf>
    <xf numFmtId="186" fontId="4" fillId="0" borderId="0" xfId="0" applyNumberFormat="1" applyFont="1" applyAlignment="1">
      <alignment horizontal="center" vertical="center" wrapText="1"/>
    </xf>
    <xf numFmtId="49" fontId="25" fillId="0" borderId="0" xfId="0" applyNumberFormat="1" applyFont="1" applyAlignment="1">
      <alignment horizontal="left" vertical="center" wrapText="1"/>
    </xf>
    <xf numFmtId="0" fontId="4" fillId="0" borderId="33" xfId="0" applyNumberFormat="1" applyFont="1" applyBorder="1" applyAlignment="1">
      <alignment vertical="center" wrapText="1"/>
    </xf>
    <xf numFmtId="0" fontId="7" fillId="0" borderId="3" xfId="0" applyNumberFormat="1" applyFont="1" applyBorder="1" applyAlignment="1">
      <alignment vertical="center" wrapText="1"/>
    </xf>
    <xf numFmtId="0" fontId="66" fillId="0" borderId="0" xfId="0" applyNumberFormat="1" applyFont="1" applyAlignment="1">
      <alignment vertical="center" wrapText="1"/>
    </xf>
    <xf numFmtId="0" fontId="57"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4" fillId="0" borderId="6" xfId="0" applyNumberFormat="1" applyFont="1" applyBorder="1" applyAlignment="1">
      <alignment horizontal="left" vertical="center" wrapText="1" indent="2"/>
    </xf>
    <xf numFmtId="185" fontId="4" fillId="13" borderId="13" xfId="0" applyNumberFormat="1" applyFont="1" applyFill="1" applyBorder="1" applyAlignment="1" applyProtection="1">
      <alignment horizontal="right" vertical="center" wrapText="1"/>
      <protection locked="0"/>
    </xf>
    <xf numFmtId="49" fontId="45" fillId="11" borderId="13" xfId="0" applyNumberFormat="1" applyFont="1" applyFill="1" applyBorder="1" applyAlignment="1" applyProtection="1">
      <alignment horizontal="left" vertical="center" wrapText="1"/>
      <protection locked="0"/>
    </xf>
    <xf numFmtId="184" fontId="4" fillId="13" borderId="13" xfId="0" applyNumberFormat="1" applyFont="1" applyFill="1" applyBorder="1" applyAlignment="1" applyProtection="1">
      <alignment horizontal="right" vertical="center" wrapText="1"/>
      <protection locked="0"/>
    </xf>
    <xf numFmtId="184" fontId="4" fillId="2" borderId="13" xfId="0" applyNumberFormat="1" applyFont="1" applyFill="1" applyBorder="1" applyAlignment="1">
      <alignment horizontal="right" vertical="center" wrapText="1"/>
    </xf>
    <xf numFmtId="185" fontId="4" fillId="13" borderId="17" xfId="0" applyNumberFormat="1" applyFont="1" applyFill="1" applyBorder="1" applyAlignment="1" applyProtection="1">
      <alignment horizontal="right" vertical="center" wrapText="1"/>
      <protection locked="0"/>
    </xf>
    <xf numFmtId="0" fontId="10" fillId="0" borderId="10" xfId="0" applyNumberFormat="1" applyFont="1" applyBorder="1" applyAlignment="1">
      <alignment horizontal="left" vertical="center" wrapText="1" indent="1"/>
    </xf>
    <xf numFmtId="0" fontId="10" fillId="0" borderId="10" xfId="0" applyNumberFormat="1" applyFont="1" applyBorder="1" applyAlignment="1">
      <alignment horizontal="center" vertical="center" wrapText="1"/>
    </xf>
    <xf numFmtId="49" fontId="4" fillId="12" borderId="14" xfId="0" applyNumberFormat="1" applyFont="1" applyFill="1" applyBorder="1" applyAlignment="1">
      <alignment vertical="center" wrapText="1"/>
    </xf>
    <xf numFmtId="49" fontId="17" fillId="12" borderId="8" xfId="0" applyNumberFormat="1" applyFont="1" applyFill="1" applyBorder="1" applyAlignment="1">
      <alignment horizontal="left" vertical="center" indent="1"/>
    </xf>
    <xf numFmtId="184" fontId="4" fillId="13" borderId="4" xfId="0" applyNumberFormat="1" applyFont="1" applyFill="1" applyBorder="1" applyAlignment="1" applyProtection="1">
      <alignment horizontal="right" vertical="center" wrapText="1"/>
      <protection locked="0"/>
    </xf>
    <xf numFmtId="0" fontId="10" fillId="0" borderId="11" xfId="0" applyNumberFormat="1" applyFont="1" applyBorder="1" applyAlignment="1">
      <alignment horizontal="left" vertical="center" wrapText="1" indent="1"/>
    </xf>
    <xf numFmtId="0" fontId="10" fillId="0" borderId="4" xfId="0" applyNumberFormat="1" applyFont="1" applyBorder="1" applyAlignment="1">
      <alignment horizontal="center" vertical="center" wrapText="1"/>
    </xf>
    <xf numFmtId="0" fontId="10" fillId="0" borderId="4" xfId="0" applyNumberFormat="1" applyFont="1" applyBorder="1" applyAlignment="1">
      <alignment horizontal="left" vertical="center" wrapText="1" indent="1"/>
    </xf>
    <xf numFmtId="184" fontId="4" fillId="2" borderId="3" xfId="0" applyNumberFormat="1" applyFont="1" applyFill="1" applyBorder="1" applyAlignment="1">
      <alignment horizontal="right" vertical="center" wrapText="1"/>
    </xf>
    <xf numFmtId="0" fontId="10" fillId="0" borderId="4" xfId="0" applyNumberFormat="1" applyFont="1" applyBorder="1" applyAlignment="1">
      <alignment vertical="center" wrapText="1"/>
    </xf>
    <xf numFmtId="0" fontId="57" fillId="0" borderId="0" xfId="0" applyNumberFormat="1" applyFont="1" applyAlignment="1">
      <alignment vertical="center"/>
    </xf>
    <xf numFmtId="0" fontId="8" fillId="0" borderId="0" xfId="0" applyNumberFormat="1" applyFont="1" applyAlignment="1">
      <alignment horizontal="left" vertical="center"/>
    </xf>
    <xf numFmtId="0" fontId="67" fillId="0" borderId="0" xfId="0" applyNumberFormat="1" applyFont="1" applyAlignment="1">
      <alignment vertical="center" wrapText="1"/>
    </xf>
    <xf numFmtId="0" fontId="8" fillId="0" borderId="3" xfId="0" applyNumberFormat="1" applyFont="1" applyBorder="1" applyAlignment="1">
      <alignment horizontal="center" vertical="center"/>
    </xf>
    <xf numFmtId="0" fontId="8" fillId="0" borderId="6" xfId="0" applyNumberFormat="1" applyFont="1" applyBorder="1" applyAlignment="1">
      <alignment horizontal="center" vertical="center"/>
    </xf>
    <xf numFmtId="0" fontId="8" fillId="0" borderId="0" xfId="0" applyNumberFormat="1" applyFont="1" applyAlignment="1">
      <alignment horizontal="center" vertical="center"/>
    </xf>
    <xf numFmtId="0" fontId="68" fillId="0" borderId="0" xfId="0" applyNumberFormat="1" applyFont="1" applyAlignment="1">
      <alignment vertical="center" wrapText="1"/>
    </xf>
    <xf numFmtId="0" fontId="69" fillId="0" borderId="0" xfId="0" applyNumberFormat="1" applyFont="1" applyAlignment="1">
      <alignment vertical="center" wrapText="1"/>
    </xf>
    <xf numFmtId="49" fontId="10" fillId="0" borderId="0" xfId="0" applyNumberFormat="1" applyFont="1" applyAlignment="1">
      <alignment vertical="center" wrapText="1"/>
    </xf>
    <xf numFmtId="0" fontId="8" fillId="0" borderId="6" xfId="0" applyNumberFormat="1" applyFont="1" applyBorder="1" applyAlignment="1">
      <alignment horizontal="center" vertical="center" wrapText="1"/>
    </xf>
    <xf numFmtId="49" fontId="10" fillId="0" borderId="0" xfId="0" applyNumberFormat="1" applyFont="1" applyAlignment="1">
      <alignment horizontal="left" vertical="center"/>
    </xf>
    <xf numFmtId="49" fontId="8" fillId="0" borderId="3" xfId="0" applyNumberFormat="1" applyFont="1" applyBorder="1" applyAlignment="1">
      <alignment vertical="center" wrapText="1"/>
    </xf>
    <xf numFmtId="0" fontId="4" fillId="2" borderId="7" xfId="0" applyNumberFormat="1" applyFont="1" applyFill="1" applyBorder="1" applyAlignment="1">
      <alignment horizontal="left" vertical="center" wrapText="1"/>
    </xf>
    <xf numFmtId="0" fontId="68" fillId="3" borderId="0" xfId="0" applyNumberFormat="1" applyFont="1" applyFill="1" applyAlignment="1">
      <alignment horizontal="center" vertical="center" wrapText="1"/>
    </xf>
    <xf numFmtId="0" fontId="69" fillId="3" borderId="0" xfId="0" applyNumberFormat="1" applyFont="1" applyFill="1" applyAlignment="1">
      <alignment horizontal="center" vertical="center" wrapText="1"/>
    </xf>
    <xf numFmtId="0" fontId="10" fillId="3" borderId="3" xfId="0" applyNumberFormat="1" applyFont="1" applyFill="1" applyBorder="1" applyAlignment="1">
      <alignment horizontal="left" vertical="center" wrapText="1" indent="3"/>
    </xf>
    <xf numFmtId="0" fontId="10" fillId="0" borderId="3" xfId="0" applyNumberFormat="1" applyFont="1" applyBorder="1" applyAlignment="1">
      <alignment horizontal="left" vertical="center" wrapText="1" indent="6"/>
    </xf>
    <xf numFmtId="0" fontId="10" fillId="0" borderId="7" xfId="0" applyNumberFormat="1" applyFont="1" applyBorder="1" applyAlignment="1">
      <alignment horizontal="left" vertical="center" wrapText="1"/>
    </xf>
    <xf numFmtId="0" fontId="10" fillId="0" borderId="3" xfId="0" applyNumberFormat="1" applyFont="1" applyBorder="1" applyAlignment="1">
      <alignment horizontal="left" vertical="center" wrapText="1" indent="4"/>
    </xf>
    <xf numFmtId="0" fontId="10" fillId="0" borderId="3" xfId="0" applyNumberFormat="1" applyFont="1" applyBorder="1" applyAlignment="1">
      <alignment horizontal="left" vertical="center" wrapText="1" indent="5"/>
    </xf>
    <xf numFmtId="0" fontId="10" fillId="0" borderId="12" xfId="0" applyNumberFormat="1" applyFont="1" applyBorder="1" applyAlignment="1">
      <alignment horizontal="center" vertical="top" wrapText="1"/>
    </xf>
    <xf numFmtId="0" fontId="4" fillId="3" borderId="4" xfId="0" applyNumberFormat="1" applyFont="1" applyFill="1" applyBorder="1" applyAlignment="1">
      <alignment horizontal="left" vertical="center" wrapText="1"/>
    </xf>
    <xf numFmtId="49" fontId="4" fillId="11" borderId="4" xfId="0" applyNumberFormat="1" applyFont="1" applyFill="1" applyBorder="1" applyAlignment="1" applyProtection="1">
      <alignment horizontal="left" vertical="center" wrapText="1" indent="6"/>
      <protection locked="0"/>
    </xf>
    <xf numFmtId="0" fontId="4" fillId="3" borderId="10" xfId="0" applyNumberFormat="1" applyFont="1" applyFill="1" applyBorder="1" applyAlignment="1">
      <alignment horizontal="left" vertical="center" wrapText="1"/>
    </xf>
    <xf numFmtId="49" fontId="4" fillId="11" borderId="10" xfId="0" applyNumberFormat="1" applyFont="1" applyFill="1" applyBorder="1" applyAlignment="1" applyProtection="1">
      <alignment horizontal="left" vertical="center" wrapText="1" indent="6"/>
      <protection locked="0"/>
    </xf>
    <xf numFmtId="185" fontId="4" fillId="12" borderId="7" xfId="0" applyNumberFormat="1" applyFont="1" applyFill="1" applyBorder="1" applyAlignment="1">
      <alignment horizontal="right" vertical="center" wrapText="1"/>
    </xf>
    <xf numFmtId="183" fontId="4" fillId="12" borderId="7" xfId="0" applyNumberFormat="1" applyFont="1" applyFill="1" applyBorder="1" applyAlignment="1">
      <alignment horizontal="right" vertical="center" wrapText="1"/>
    </xf>
    <xf numFmtId="0" fontId="4" fillId="3" borderId="11" xfId="0" applyNumberFormat="1" applyFont="1" applyFill="1" applyBorder="1" applyAlignment="1">
      <alignment horizontal="left" vertical="center" wrapText="1"/>
    </xf>
    <xf numFmtId="49" fontId="4" fillId="11" borderId="11" xfId="0" applyNumberFormat="1" applyFont="1" applyFill="1" applyBorder="1" applyAlignment="1" applyProtection="1">
      <alignment horizontal="left" vertical="center" wrapText="1" indent="6"/>
      <protection locked="0"/>
    </xf>
    <xf numFmtId="185" fontId="10" fillId="12" borderId="7" xfId="0" applyNumberFormat="1" applyFont="1" applyFill="1" applyBorder="1" applyAlignment="1">
      <alignment horizontal="center" vertical="center" wrapText="1"/>
    </xf>
    <xf numFmtId="49" fontId="62" fillId="0" borderId="6" xfId="0" applyNumberFormat="1" applyFont="1" applyBorder="1" applyAlignment="1">
      <alignment horizontal="left" vertical="center"/>
    </xf>
    <xf numFmtId="49" fontId="10" fillId="0" borderId="7" xfId="0" applyNumberFormat="1" applyFont="1" applyBorder="1" applyAlignment="1">
      <alignment horizontal="left" vertical="center" indent="4"/>
    </xf>
    <xf numFmtId="49" fontId="10" fillId="0" borderId="7" xfId="0" applyNumberFormat="1" applyFont="1" applyBorder="1" applyAlignment="1">
      <alignment horizontal="center" vertical="center" wrapText="1"/>
    </xf>
    <xf numFmtId="49" fontId="13" fillId="0" borderId="0" xfId="0" applyNumberFormat="1" applyFont="1">
      <alignment vertical="top"/>
    </xf>
    <xf numFmtId="49" fontId="10" fillId="0" borderId="12" xfId="0" applyNumberFormat="1" applyFont="1" applyBorder="1">
      <alignment vertical="top"/>
    </xf>
    <xf numFmtId="49" fontId="62" fillId="0" borderId="0" xfId="0" applyNumberFormat="1" applyFont="1" applyAlignment="1">
      <alignment horizontal="left" vertical="center"/>
    </xf>
    <xf numFmtId="49" fontId="10" fillId="0" borderId="0" xfId="0" applyNumberFormat="1" applyFont="1" applyAlignment="1">
      <alignment horizontal="left" vertical="center" indent="1"/>
    </xf>
    <xf numFmtId="0" fontId="67" fillId="0" borderId="0" xfId="0" applyNumberFormat="1" applyFont="1" applyAlignment="1">
      <alignment horizontal="left" vertical="center"/>
    </xf>
    <xf numFmtId="0" fontId="67" fillId="3" borderId="0" xfId="0" applyNumberFormat="1" applyFont="1" applyFill="1" applyAlignment="1">
      <alignment vertical="center" wrapText="1"/>
    </xf>
    <xf numFmtId="0" fontId="0" fillId="0" borderId="7" xfId="0" applyNumberFormat="1" applyFont="1" applyBorder="1" applyAlignment="1">
      <alignment vertical="center"/>
    </xf>
    <xf numFmtId="0" fontId="4" fillId="2" borderId="13" xfId="0" applyNumberFormat="1" applyFont="1" applyFill="1" applyBorder="1" applyAlignment="1">
      <alignment horizontal="left" vertical="center" wrapText="1"/>
    </xf>
    <xf numFmtId="0" fontId="4" fillId="2" borderId="6" xfId="0" applyNumberFormat="1" applyFont="1" applyFill="1" applyBorder="1" applyAlignment="1">
      <alignment horizontal="left" vertical="center" wrapText="1"/>
    </xf>
    <xf numFmtId="0" fontId="10" fillId="0" borderId="13" xfId="0" applyNumberFormat="1" applyFont="1" applyBorder="1" applyAlignment="1">
      <alignment horizontal="left" vertical="center" wrapText="1"/>
    </xf>
    <xf numFmtId="0" fontId="10" fillId="0" borderId="6" xfId="0" applyNumberFormat="1" applyFont="1" applyBorder="1" applyAlignment="1">
      <alignment horizontal="left" vertical="center" wrapText="1"/>
    </xf>
    <xf numFmtId="0" fontId="11" fillId="0" borderId="3" xfId="0" applyNumberFormat="1" applyFont="1" applyBorder="1" applyAlignment="1">
      <alignment horizontal="center" vertical="center" wrapText="1"/>
    </xf>
    <xf numFmtId="49" fontId="17" fillId="12" borderId="6" xfId="0" applyNumberFormat="1" applyFont="1" applyFill="1" applyBorder="1" applyAlignment="1">
      <alignment vertical="center" wrapText="1"/>
    </xf>
    <xf numFmtId="49" fontId="17" fillId="12" borderId="7" xfId="0" applyNumberFormat="1" applyFont="1" applyFill="1" applyBorder="1" applyAlignment="1">
      <alignment vertical="center" wrapText="1"/>
    </xf>
    <xf numFmtId="49" fontId="4" fillId="12" borderId="6" xfId="0" applyNumberFormat="1" applyFont="1" applyFill="1" applyBorder="1" applyAlignment="1">
      <alignment horizontal="center" vertical="center" wrapText="1"/>
    </xf>
    <xf numFmtId="0" fontId="69" fillId="0" borderId="0" xfId="0" applyNumberFormat="1" applyFont="1" applyAlignment="1">
      <alignment horizontal="center" vertical="center" wrapText="1"/>
    </xf>
    <xf numFmtId="49" fontId="4" fillId="0" borderId="3" xfId="0" applyNumberFormat="1" applyFont="1" applyBorder="1" applyAlignment="1">
      <alignment vertical="center" wrapText="1"/>
    </xf>
    <xf numFmtId="0" fontId="0" fillId="3" borderId="8" xfId="0" applyNumberFormat="1" applyFont="1" applyFill="1" applyBorder="1" applyAlignment="1">
      <alignment horizontal="center" vertical="center" wrapText="1"/>
    </xf>
    <xf numFmtId="0" fontId="4" fillId="0" borderId="8" xfId="0" applyNumberFormat="1" applyFont="1" applyBorder="1" applyAlignment="1">
      <alignment horizontal="center" vertical="center" wrapText="1"/>
    </xf>
    <xf numFmtId="0" fontId="0" fillId="3" borderId="16" xfId="0" applyNumberFormat="1" applyFont="1" applyFill="1" applyBorder="1" applyAlignment="1">
      <alignment horizontal="center" vertical="center" wrapText="1"/>
    </xf>
    <xf numFmtId="0" fontId="0" fillId="3" borderId="0" xfId="0" applyNumberFormat="1" applyFont="1" applyFill="1" applyAlignment="1">
      <alignment horizontal="center" vertical="center" wrapText="1"/>
    </xf>
    <xf numFmtId="0" fontId="4" fillId="0" borderId="9" xfId="0" applyNumberFormat="1" applyFont="1" applyBorder="1" applyAlignment="1">
      <alignment horizontal="center" vertical="center" wrapText="1"/>
    </xf>
    <xf numFmtId="0" fontId="0" fillId="3" borderId="15" xfId="0" applyNumberFormat="1" applyFont="1" applyFill="1" applyBorder="1" applyAlignment="1">
      <alignment horizontal="center" vertical="center" wrapText="1"/>
    </xf>
    <xf numFmtId="0" fontId="0" fillId="3" borderId="9" xfId="0" applyNumberFormat="1" applyFont="1" applyFill="1" applyBorder="1" applyAlignment="1">
      <alignment horizontal="center" vertical="center" wrapText="1"/>
    </xf>
    <xf numFmtId="185" fontId="4" fillId="13" borderId="3" xfId="0" applyNumberFormat="1" applyFont="1" applyFill="1" applyBorder="1" applyAlignment="1" applyProtection="1">
      <alignment horizontal="left" vertical="center" wrapText="1" indent="1"/>
      <protection locked="0"/>
    </xf>
    <xf numFmtId="49" fontId="4" fillId="10" borderId="3" xfId="0" applyNumberFormat="1" applyFont="1" applyFill="1" applyBorder="1" applyAlignment="1">
      <alignment horizontal="left" vertical="center" wrapText="1" indent="1"/>
    </xf>
    <xf numFmtId="49" fontId="17" fillId="12" borderId="7" xfId="0" applyNumberFormat="1" applyFont="1" applyFill="1" applyBorder="1" applyAlignment="1">
      <alignment vertical="center"/>
    </xf>
    <xf numFmtId="49" fontId="10" fillId="0" borderId="0" xfId="0" applyNumberFormat="1" applyFont="1" applyAlignment="1">
      <alignment horizontal="left" vertical="center" wrapText="1" indent="1"/>
    </xf>
    <xf numFmtId="0" fontId="10" fillId="0" borderId="0" xfId="0" applyNumberFormat="1" applyFont="1" applyAlignment="1">
      <alignment horizontal="left" vertical="center" wrapText="1" indent="4"/>
    </xf>
    <xf numFmtId="0" fontId="0" fillId="3" borderId="33" xfId="0" applyNumberFormat="1" applyFont="1" applyFill="1" applyBorder="1" applyAlignment="1">
      <alignment horizontal="center" vertical="center" wrapText="1"/>
    </xf>
    <xf numFmtId="0" fontId="0" fillId="3" borderId="12" xfId="0" applyNumberFormat="1" applyFont="1" applyFill="1" applyBorder="1" applyAlignment="1">
      <alignment horizontal="center" vertical="center" wrapText="1"/>
    </xf>
    <xf numFmtId="0" fontId="0" fillId="3" borderId="17" xfId="0" applyNumberFormat="1" applyFont="1" applyFill="1" applyBorder="1" applyAlignment="1">
      <alignment horizontal="center" vertical="center" wrapText="1"/>
    </xf>
    <xf numFmtId="0" fontId="10" fillId="0" borderId="8" xfId="0" applyNumberFormat="1" applyFont="1" applyBorder="1" applyAlignment="1">
      <alignment horizontal="left" vertical="center" wrapText="1"/>
    </xf>
    <xf numFmtId="185" fontId="4" fillId="13" borderId="3" xfId="0" applyNumberFormat="1" applyFont="1" applyFill="1" applyBorder="1" applyAlignment="1" applyProtection="1">
      <alignment horizontal="center" vertical="center" wrapText="1"/>
      <protection locked="0"/>
    </xf>
    <xf numFmtId="49" fontId="4" fillId="10" borderId="33" xfId="0" applyNumberFormat="1" applyFont="1" applyFill="1" applyBorder="1" applyAlignment="1">
      <alignment horizontal="center" vertical="center" wrapText="1"/>
    </xf>
    <xf numFmtId="0" fontId="4" fillId="0" borderId="3" xfId="0" applyNumberFormat="1" applyFont="1" applyBorder="1" applyAlignment="1">
      <alignment horizontal="left" vertical="center" wrapText="1" indent="4"/>
    </xf>
    <xf numFmtId="49" fontId="4" fillId="10" borderId="17" xfId="0" applyNumberFormat="1" applyFont="1" applyFill="1" applyBorder="1" applyAlignment="1">
      <alignment horizontal="center" vertical="center" wrapText="1"/>
    </xf>
    <xf numFmtId="183" fontId="4" fillId="0" borderId="3" xfId="0" applyNumberFormat="1" applyFont="1" applyBorder="1" applyAlignment="1">
      <alignment horizontal="right" vertical="center" wrapText="1"/>
    </xf>
    <xf numFmtId="185" fontId="4" fillId="0" borderId="4" xfId="0" applyNumberFormat="1" applyFont="1" applyBorder="1" applyAlignment="1">
      <alignment horizontal="right" vertical="center" wrapText="1"/>
    </xf>
    <xf numFmtId="183" fontId="4" fillId="12" borderId="13" xfId="0" applyNumberFormat="1" applyFont="1" applyFill="1" applyBorder="1" applyAlignment="1">
      <alignment horizontal="right" vertical="center" wrapText="1"/>
    </xf>
    <xf numFmtId="185" fontId="10" fillId="12" borderId="13" xfId="0" applyNumberFormat="1" applyFont="1" applyFill="1" applyBorder="1" applyAlignment="1">
      <alignment horizontal="center" vertical="center" wrapText="1"/>
    </xf>
    <xf numFmtId="49" fontId="10" fillId="0" borderId="13" xfId="0" applyNumberFormat="1" applyFont="1" applyBorder="1" applyAlignment="1">
      <alignment horizontal="center" vertical="center" wrapText="1"/>
    </xf>
    <xf numFmtId="186" fontId="10" fillId="0" borderId="3" xfId="0" applyNumberFormat="1" applyFont="1" applyBorder="1" applyAlignment="1">
      <alignment horizontal="center" vertical="center" wrapText="1"/>
    </xf>
    <xf numFmtId="0" fontId="10" fillId="0" borderId="0" xfId="0" applyNumberFormat="1" applyFont="1" applyAlignment="1">
      <alignment horizontal="left" vertical="center"/>
    </xf>
    <xf numFmtId="0" fontId="4" fillId="11" borderId="6" xfId="0" applyNumberFormat="1" applyFont="1" applyFill="1" applyBorder="1" applyAlignment="1" applyProtection="1">
      <alignment horizontal="left" vertical="center" wrapText="1"/>
      <protection locked="0"/>
    </xf>
    <xf numFmtId="0" fontId="4" fillId="11" borderId="7" xfId="0" applyNumberFormat="1" applyFont="1" applyFill="1" applyBorder="1" applyAlignment="1" applyProtection="1">
      <alignment horizontal="left" vertical="center" wrapText="1"/>
      <protection locked="0"/>
    </xf>
    <xf numFmtId="49" fontId="4" fillId="11" borderId="3" xfId="0" applyNumberFormat="1" applyFont="1" applyFill="1" applyBorder="1" applyAlignment="1" applyProtection="1">
      <alignment horizontal="left" vertical="center" wrapText="1" indent="6"/>
      <protection locked="0"/>
    </xf>
    <xf numFmtId="0" fontId="70" fillId="0" borderId="0" xfId="0" applyNumberFormat="1" applyFont="1" applyAlignment="1">
      <alignment vertical="center" wrapText="1"/>
    </xf>
    <xf numFmtId="49" fontId="4" fillId="3" borderId="3" xfId="73" applyNumberFormat="1" applyFont="1" applyFill="1" applyBorder="1" applyAlignment="1">
      <alignment horizontal="center" vertical="center" wrapText="1"/>
    </xf>
    <xf numFmtId="0" fontId="4" fillId="11" borderId="13" xfId="0" applyNumberFormat="1" applyFont="1" applyFill="1" applyBorder="1" applyAlignment="1" applyProtection="1">
      <alignment horizontal="left" vertical="center" wrapText="1"/>
      <protection locked="0"/>
    </xf>
    <xf numFmtId="183" fontId="8" fillId="0" borderId="3" xfId="0" applyNumberFormat="1" applyFont="1" applyBorder="1" applyAlignment="1">
      <alignment horizontal="right" vertical="center" wrapText="1"/>
    </xf>
    <xf numFmtId="186" fontId="8" fillId="0" borderId="3" xfId="0" applyNumberFormat="1" applyFont="1" applyBorder="1" applyAlignment="1">
      <alignment horizontal="center" vertical="center" wrapText="1"/>
    </xf>
    <xf numFmtId="49" fontId="4" fillId="11" borderId="7" xfId="0" applyNumberFormat="1" applyFont="1" applyFill="1" applyBorder="1" applyAlignment="1" applyProtection="1">
      <alignment horizontal="left" vertical="center" wrapText="1"/>
      <protection locked="0"/>
    </xf>
    <xf numFmtId="49" fontId="4" fillId="11" borderId="13" xfId="0" applyNumberFormat="1" applyFont="1" applyFill="1" applyBorder="1" applyAlignment="1" applyProtection="1">
      <alignment horizontal="left" vertical="center" wrapText="1"/>
      <protection locked="0"/>
    </xf>
    <xf numFmtId="0" fontId="23" fillId="0" borderId="4" xfId="0" applyNumberFormat="1" applyFont="1" applyBorder="1" applyAlignment="1">
      <alignment vertical="top" wrapText="1"/>
    </xf>
    <xf numFmtId="186" fontId="0" fillId="13" borderId="4" xfId="0" applyNumberFormat="1" applyFont="1" applyFill="1" applyBorder="1" applyAlignment="1" applyProtection="1">
      <alignment horizontal="center" vertical="center" wrapText="1"/>
      <protection locked="0"/>
    </xf>
    <xf numFmtId="185" fontId="4" fillId="0" borderId="14" xfId="0" applyNumberFormat="1" applyFont="1" applyBorder="1" applyAlignment="1">
      <alignment horizontal="right" vertical="center" wrapText="1"/>
    </xf>
    <xf numFmtId="0" fontId="23" fillId="0" borderId="3" xfId="0" applyNumberFormat="1" applyFont="1" applyBorder="1" applyAlignment="1">
      <alignment horizontal="left" vertical="top" wrapText="1"/>
    </xf>
    <xf numFmtId="49" fontId="0" fillId="13" borderId="11" xfId="0" applyNumberFormat="1" applyFont="1" applyFill="1" applyBorder="1" applyAlignment="1" applyProtection="1">
      <alignment horizontal="center" vertical="center" wrapText="1"/>
      <protection locked="0"/>
    </xf>
    <xf numFmtId="49" fontId="0" fillId="12" borderId="17" xfId="0" applyNumberFormat="1" applyFont="1" applyFill="1" applyBorder="1" applyAlignment="1">
      <alignment horizontal="center" vertical="center" wrapText="1"/>
    </xf>
    <xf numFmtId="0" fontId="14" fillId="3" borderId="0" xfId="0" applyNumberFormat="1" applyFont="1" applyFill="1" applyAlignment="1">
      <alignment horizontal="center" vertical="center" wrapText="1"/>
    </xf>
    <xf numFmtId="0" fontId="4" fillId="0" borderId="3" xfId="0" applyNumberFormat="1" applyFont="1" applyBorder="1" applyAlignment="1">
      <alignment horizontal="center" vertical="center"/>
    </xf>
    <xf numFmtId="0" fontId="4" fillId="0" borderId="6" xfId="0" applyNumberFormat="1" applyFont="1" applyBorder="1" applyAlignment="1">
      <alignment horizontal="center" vertical="center"/>
    </xf>
    <xf numFmtId="0" fontId="7" fillId="0" borderId="0" xfId="0" applyNumberFormat="1" applyFont="1" applyAlignment="1">
      <alignment horizontal="left" vertical="center" indent="1"/>
    </xf>
    <xf numFmtId="0" fontId="4" fillId="0" borderId="0" xfId="0" applyNumberFormat="1" applyFont="1" applyAlignment="1">
      <alignment horizontal="left" vertical="center"/>
    </xf>
    <xf numFmtId="0" fontId="7"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7" fillId="0" borderId="0" xfId="0" applyNumberFormat="1" applyFont="1" applyAlignment="1">
      <alignment horizontal="left" vertical="center"/>
    </xf>
    <xf numFmtId="49" fontId="4" fillId="0" borderId="0" xfId="0" applyNumberFormat="1" applyFont="1" applyAlignment="1">
      <alignment horizontal="left" vertical="center"/>
    </xf>
    <xf numFmtId="49" fontId="4" fillId="13" borderId="4" xfId="0" applyNumberFormat="1" applyFont="1" applyFill="1" applyBorder="1" applyAlignment="1" applyProtection="1">
      <alignment horizontal="left" vertical="center" wrapText="1" indent="6"/>
      <protection locked="0"/>
    </xf>
    <xf numFmtId="0" fontId="4" fillId="2" borderId="3" xfId="0" applyNumberFormat="1" applyFont="1" applyFill="1" applyBorder="1" applyAlignment="1">
      <alignment horizontal="center" vertical="center" wrapText="1"/>
    </xf>
    <xf numFmtId="49" fontId="7" fillId="0" borderId="12" xfId="0" applyNumberFormat="1" applyFont="1" applyBorder="1">
      <alignment vertical="top"/>
    </xf>
    <xf numFmtId="183" fontId="10" fillId="0" borderId="3" xfId="0" applyNumberFormat="1" applyFont="1" applyBorder="1" applyAlignment="1">
      <alignment horizontal="right" vertical="center" wrapText="1"/>
    </xf>
    <xf numFmtId="0" fontId="4" fillId="13" borderId="13" xfId="0" applyNumberFormat="1" applyFont="1" applyFill="1" applyBorder="1" applyAlignment="1" applyProtection="1">
      <alignment horizontal="center" vertical="center" wrapText="1"/>
      <protection locked="0"/>
    </xf>
    <xf numFmtId="0" fontId="0" fillId="0" borderId="7" xfId="0" applyNumberFormat="1" applyFont="1" applyBorder="1" applyAlignment="1">
      <alignment horizontal="center" vertical="center" wrapText="1"/>
    </xf>
    <xf numFmtId="49" fontId="4" fillId="13" borderId="10" xfId="0" applyNumberFormat="1" applyFont="1" applyFill="1" applyBorder="1" applyAlignment="1" applyProtection="1">
      <alignment horizontal="left" vertical="center" wrapText="1" indent="6"/>
      <protection locked="0"/>
    </xf>
    <xf numFmtId="49" fontId="4" fillId="13" borderId="11" xfId="0" applyNumberFormat="1" applyFont="1" applyFill="1" applyBorder="1" applyAlignment="1" applyProtection="1">
      <alignment horizontal="left" vertical="center" wrapText="1" indent="6"/>
      <protection locked="0"/>
    </xf>
    <xf numFmtId="49" fontId="4" fillId="0" borderId="3" xfId="0" applyNumberFormat="1" applyFont="1" applyBorder="1" applyAlignment="1">
      <alignment horizontal="left" vertical="center" wrapText="1" indent="1"/>
    </xf>
    <xf numFmtId="0" fontId="10" fillId="0" borderId="12" xfId="0" applyNumberFormat="1" applyFont="1" applyBorder="1" applyAlignment="1">
      <alignment horizontal="left" vertical="center" wrapText="1" indent="1"/>
    </xf>
    <xf numFmtId="185" fontId="4" fillId="0" borderId="10" xfId="0" applyNumberFormat="1" applyFont="1" applyBorder="1" applyAlignment="1">
      <alignment horizontal="right" vertical="center" wrapText="1"/>
    </xf>
    <xf numFmtId="185" fontId="4" fillId="0" borderId="11" xfId="0" applyNumberFormat="1" applyFont="1" applyBorder="1" applyAlignment="1">
      <alignment horizontal="right" vertical="center" wrapText="1"/>
    </xf>
    <xf numFmtId="0" fontId="4" fillId="11" borderId="3" xfId="0" applyNumberFormat="1" applyFont="1" applyFill="1" applyBorder="1" applyAlignment="1" applyProtection="1">
      <alignment horizontal="left" vertical="center" wrapText="1" indent="7"/>
      <protection locked="0"/>
    </xf>
    <xf numFmtId="0" fontId="4" fillId="12" borderId="7" xfId="0" applyNumberFormat="1" applyFont="1" applyFill="1" applyBorder="1" applyAlignment="1">
      <alignment horizontal="left" vertical="center" wrapText="1" indent="6"/>
    </xf>
    <xf numFmtId="49" fontId="62" fillId="0" borderId="8" xfId="0" applyNumberFormat="1" applyFont="1" applyBorder="1" applyAlignment="1">
      <alignment horizontal="left" vertical="center"/>
    </xf>
    <xf numFmtId="49" fontId="10" fillId="0" borderId="8" xfId="0" applyNumberFormat="1" applyFont="1" applyBorder="1" applyAlignment="1">
      <alignment horizontal="left" vertical="center" indent="3"/>
    </xf>
    <xf numFmtId="49" fontId="10" fillId="0" borderId="8" xfId="0" applyNumberFormat="1" applyFont="1" applyBorder="1" applyAlignment="1">
      <alignment horizontal="center" vertical="center" wrapText="1"/>
    </xf>
    <xf numFmtId="49" fontId="10" fillId="0" borderId="0" xfId="0" applyNumberFormat="1" applyFont="1" applyAlignment="1">
      <alignment horizontal="left" vertical="center" indent="2"/>
    </xf>
    <xf numFmtId="0" fontId="4" fillId="10" borderId="8" xfId="0" applyNumberFormat="1" applyFont="1" applyFill="1" applyBorder="1" applyAlignment="1">
      <alignment horizontal="left" vertical="center" wrapText="1"/>
    </xf>
    <xf numFmtId="0" fontId="4" fillId="10" borderId="33" xfId="0" applyNumberFormat="1" applyFont="1" applyFill="1" applyBorder="1" applyAlignment="1">
      <alignment horizontal="left" vertical="center" wrapText="1"/>
    </xf>
    <xf numFmtId="183" fontId="4" fillId="11" borderId="6" xfId="0" applyNumberFormat="1" applyFont="1" applyFill="1" applyBorder="1" applyAlignment="1" applyProtection="1">
      <alignment horizontal="right" vertical="center" wrapText="1"/>
      <protection locked="0"/>
    </xf>
    <xf numFmtId="185" fontId="10" fillId="0" borderId="6" xfId="0" applyNumberFormat="1" applyFont="1" applyBorder="1" applyAlignment="1">
      <alignment horizontal="center" vertical="center" wrapText="1"/>
    </xf>
    <xf numFmtId="49" fontId="4" fillId="12" borderId="9"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33"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17" xfId="0" applyNumberFormat="1" applyFont="1" applyBorder="1" applyAlignment="1">
      <alignment horizontal="center" vertical="center" wrapText="1"/>
    </xf>
    <xf numFmtId="185" fontId="4" fillId="11" borderId="13" xfId="0" applyNumberFormat="1" applyFont="1" applyFill="1" applyBorder="1" applyAlignment="1" applyProtection="1">
      <alignment horizontal="right" vertical="center" wrapText="1"/>
      <protection locked="0"/>
    </xf>
    <xf numFmtId="185" fontId="4" fillId="0" borderId="13" xfId="0" applyNumberFormat="1" applyFont="1" applyBorder="1" applyAlignment="1">
      <alignment horizontal="right" vertical="center" wrapText="1"/>
    </xf>
    <xf numFmtId="185" fontId="4" fillId="12" borderId="13" xfId="0" applyNumberFormat="1" applyFont="1" applyFill="1" applyBorder="1" applyAlignment="1">
      <alignment horizontal="right" vertical="center" wrapText="1"/>
    </xf>
    <xf numFmtId="0" fontId="8" fillId="0" borderId="4"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8" fillId="0" borderId="0" xfId="0" applyNumberFormat="1" applyFont="1" applyAlignment="1">
      <alignment vertical="top" wrapText="1"/>
    </xf>
    <xf numFmtId="0" fontId="4" fillId="3" borderId="4" xfId="0" applyNumberFormat="1" applyFont="1" applyFill="1" applyBorder="1" applyAlignment="1">
      <alignment horizontal="left" vertical="center" wrapText="1" indent="2"/>
    </xf>
    <xf numFmtId="0" fontId="4" fillId="0" borderId="4" xfId="0" applyNumberFormat="1" applyFont="1" applyBorder="1" applyAlignment="1">
      <alignment horizontal="left" vertical="center" wrapText="1" indent="6"/>
    </xf>
    <xf numFmtId="0" fontId="4" fillId="2" borderId="14" xfId="0" applyNumberFormat="1" applyFont="1" applyFill="1" applyBorder="1" applyAlignment="1">
      <alignment horizontal="left" vertical="center" wrapText="1"/>
    </xf>
    <xf numFmtId="0" fontId="4" fillId="2" borderId="8" xfId="0" applyNumberFormat="1" applyFont="1" applyFill="1" applyBorder="1" applyAlignment="1">
      <alignment horizontal="left" vertical="center" wrapText="1"/>
    </xf>
    <xf numFmtId="0" fontId="4" fillId="10" borderId="11" xfId="0" applyNumberFormat="1" applyFont="1" applyFill="1" applyBorder="1" applyAlignment="1">
      <alignment horizontal="left" vertical="center" wrapText="1" indent="6"/>
    </xf>
    <xf numFmtId="0" fontId="4" fillId="0" borderId="11" xfId="0" applyNumberFormat="1" applyFont="1" applyBorder="1" applyAlignment="1">
      <alignment horizontal="left" vertical="center" wrapText="1" indent="6"/>
    </xf>
    <xf numFmtId="185" fontId="4" fillId="11" borderId="11" xfId="0" applyNumberFormat="1" applyFont="1" applyFill="1" applyBorder="1" applyAlignment="1" applyProtection="1">
      <alignment horizontal="right" vertical="center" wrapText="1"/>
      <protection locked="0"/>
    </xf>
    <xf numFmtId="0" fontId="4" fillId="2" borderId="33" xfId="0" applyNumberFormat="1" applyFont="1" applyFill="1" applyBorder="1" applyAlignment="1">
      <alignment horizontal="left" vertical="center" wrapText="1"/>
    </xf>
    <xf numFmtId="183" fontId="4" fillId="11" borderId="11" xfId="0" applyNumberFormat="1" applyFont="1" applyFill="1" applyBorder="1" applyAlignment="1" applyProtection="1">
      <alignment horizontal="right" vertical="center" wrapText="1"/>
      <protection locked="0"/>
    </xf>
    <xf numFmtId="186" fontId="0" fillId="13" borderId="11" xfId="0" applyNumberFormat="1" applyFont="1" applyFill="1" applyBorder="1" applyAlignment="1" applyProtection="1">
      <alignment horizontal="center" vertical="center" wrapText="1"/>
      <protection locked="0"/>
    </xf>
    <xf numFmtId="0" fontId="23" fillId="0" borderId="13" xfId="0" applyNumberFormat="1" applyFont="1" applyBorder="1" applyAlignment="1">
      <alignment vertical="top" wrapText="1"/>
    </xf>
    <xf numFmtId="0" fontId="10" fillId="0" borderId="13" xfId="0" applyNumberFormat="1" applyFont="1" applyBorder="1" applyAlignment="1">
      <alignment vertical="top" wrapText="1"/>
    </xf>
    <xf numFmtId="0" fontId="71" fillId="0" borderId="0" xfId="0" applyNumberFormat="1" applyFont="1" applyAlignment="1">
      <alignment vertical="center" wrapText="1"/>
    </xf>
    <xf numFmtId="0" fontId="72" fillId="3" borderId="0" xfId="0" applyNumberFormat="1" applyFont="1" applyFill="1" applyAlignment="1">
      <alignment horizontal="center" vertical="center" wrapText="1"/>
    </xf>
    <xf numFmtId="0" fontId="26" fillId="3" borderId="0" xfId="0" applyNumberFormat="1" applyFont="1" applyFill="1" applyAlignment="1">
      <alignment vertical="center" wrapText="1"/>
    </xf>
    <xf numFmtId="185" fontId="26" fillId="0" borderId="0" xfId="0" applyNumberFormat="1" applyFont="1" applyAlignment="1">
      <alignment horizontal="right" vertical="center" wrapText="1"/>
    </xf>
    <xf numFmtId="0" fontId="27" fillId="3" borderId="0" xfId="0" applyNumberFormat="1" applyFont="1" applyFill="1" applyAlignment="1">
      <alignment horizontal="center" vertical="center" wrapText="1"/>
    </xf>
    <xf numFmtId="49" fontId="27" fillId="3" borderId="7" xfId="0" applyNumberFormat="1" applyFont="1" applyFill="1" applyBorder="1" applyAlignment="1">
      <alignment horizontal="center" vertical="center" wrapText="1"/>
    </xf>
    <xf numFmtId="0" fontId="11" fillId="3" borderId="12" xfId="0" applyNumberFormat="1" applyFont="1" applyFill="1" applyBorder="1" applyAlignment="1">
      <alignment vertical="top" wrapText="1"/>
    </xf>
    <xf numFmtId="186" fontId="4" fillId="12" borderId="7" xfId="0" applyNumberFormat="1" applyFont="1" applyFill="1" applyBorder="1" applyAlignment="1">
      <alignment horizontal="center" vertical="center" wrapText="1"/>
    </xf>
    <xf numFmtId="0" fontId="10" fillId="3" borderId="11" xfId="0" applyNumberFormat="1" applyFont="1" applyFill="1" applyBorder="1" applyAlignment="1">
      <alignment horizontal="center" vertical="center" wrapText="1"/>
    </xf>
    <xf numFmtId="49" fontId="3" fillId="12" borderId="7" xfId="0" applyNumberFormat="1" applyFont="1" applyFill="1" applyBorder="1" applyAlignment="1">
      <alignment horizontal="center" vertical="center"/>
    </xf>
    <xf numFmtId="49" fontId="16" fillId="12" borderId="7" xfId="0" applyNumberFormat="1" applyFont="1" applyFill="1" applyBorder="1" applyAlignment="1">
      <alignment horizontal="left" vertical="center" indent="1"/>
    </xf>
    <xf numFmtId="0" fontId="72" fillId="0" borderId="0" xfId="0" applyNumberFormat="1" applyFont="1" applyAlignment="1">
      <alignment horizontal="center" vertical="center" wrapText="1"/>
    </xf>
    <xf numFmtId="0" fontId="23" fillId="0" borderId="0" xfId="0" applyNumberFormat="1" applyFont="1" applyAlignment="1">
      <alignment vertical="top" wrapText="1"/>
    </xf>
    <xf numFmtId="0" fontId="26" fillId="3" borderId="0" xfId="0" applyNumberFormat="1" applyFont="1" applyFill="1" applyAlignment="1">
      <alignment horizontal="right" vertical="center"/>
    </xf>
    <xf numFmtId="0" fontId="26" fillId="3" borderId="0" xfId="0" applyNumberFormat="1" applyFont="1" applyFill="1" applyAlignment="1">
      <alignment horizontal="right" vertical="center" wrapText="1"/>
    </xf>
    <xf numFmtId="0" fontId="4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6" fillId="0" borderId="0" xfId="0" applyNumberFormat="1" applyFont="1" applyAlignment="1">
      <alignment horizontal="left" vertical="center" wrapText="1" indent="1"/>
    </xf>
    <xf numFmtId="0" fontId="0" fillId="0" borderId="4" xfId="0" applyNumberFormat="1" applyFont="1" applyBorder="1" applyAlignment="1">
      <alignment horizontal="left" vertical="top" wrapText="1"/>
    </xf>
    <xf numFmtId="186" fontId="28" fillId="12" borderId="7" xfId="0" applyNumberFormat="1" applyFont="1" applyFill="1" applyBorder="1" applyAlignment="1">
      <alignment horizontal="center" vertical="center" wrapText="1"/>
    </xf>
    <xf numFmtId="49" fontId="45" fillId="12" borderId="13" xfId="0" applyNumberFormat="1" applyFont="1" applyFill="1" applyBorder="1" applyAlignment="1">
      <alignment horizontal="left" vertical="center" wrapText="1"/>
    </xf>
    <xf numFmtId="0" fontId="0" fillId="0" borderId="10" xfId="0" applyNumberFormat="1" applyFont="1" applyBorder="1" applyAlignment="1">
      <alignment horizontal="left" vertical="top" wrapText="1"/>
    </xf>
    <xf numFmtId="49" fontId="16" fillId="12" borderId="13" xfId="0" applyNumberFormat="1" applyFont="1" applyFill="1" applyBorder="1" applyAlignment="1">
      <alignment horizontal="left" vertical="center" indent="1"/>
    </xf>
    <xf numFmtId="0" fontId="0" fillId="0" borderId="11" xfId="0" applyNumberFormat="1" applyFont="1" applyBorder="1" applyAlignment="1">
      <alignment horizontal="left" vertical="top" wrapText="1"/>
    </xf>
    <xf numFmtId="0" fontId="73" fillId="0" borderId="0" xfId="0" applyNumberFormat="1" applyFont="1" applyAlignment="1">
      <alignment vertical="center" wrapText="1"/>
    </xf>
    <xf numFmtId="49" fontId="0" fillId="0" borderId="14" xfId="0" applyNumberFormat="1" applyFont="1" applyBorder="1" applyAlignment="1">
      <alignment horizontal="center" vertical="center" wrapText="1"/>
    </xf>
    <xf numFmtId="0" fontId="11" fillId="3" borderId="3" xfId="0" applyNumberFormat="1" applyFont="1" applyFill="1" applyBorder="1" applyAlignment="1">
      <alignment horizontal="center" vertical="center" wrapText="1"/>
    </xf>
    <xf numFmtId="49" fontId="0" fillId="0" borderId="15" xfId="0" applyNumberFormat="1" applyFont="1" applyBorder="1" applyAlignment="1">
      <alignment horizontal="center" vertical="center" wrapText="1"/>
    </xf>
    <xf numFmtId="0" fontId="4" fillId="10" borderId="9" xfId="0" applyNumberFormat="1" applyFont="1" applyFill="1" applyBorder="1" applyAlignment="1">
      <alignment horizontal="left" vertical="center" wrapText="1"/>
    </xf>
    <xf numFmtId="0" fontId="17" fillId="12" borderId="7" xfId="0" applyNumberFormat="1" applyFont="1" applyFill="1" applyBorder="1" applyAlignment="1">
      <alignment vertical="center"/>
    </xf>
    <xf numFmtId="0" fontId="73" fillId="3" borderId="0" xfId="0" applyNumberFormat="1" applyFont="1" applyFill="1" applyAlignment="1">
      <alignment horizontal="center" vertical="center" wrapText="1"/>
    </xf>
    <xf numFmtId="0" fontId="73" fillId="3" borderId="0" xfId="0" applyNumberFormat="1" applyFont="1" applyFill="1" applyAlignment="1">
      <alignment horizontal="right" vertical="center" wrapText="1"/>
    </xf>
    <xf numFmtId="49" fontId="7" fillId="0" borderId="4" xfId="0" applyNumberFormat="1" applyFont="1" applyBorder="1" applyAlignment="1">
      <alignment horizontal="left" vertical="center" wrapText="1"/>
    </xf>
    <xf numFmtId="49" fontId="16" fillId="12" borderId="7" xfId="0" applyNumberFormat="1" applyFont="1" applyFill="1" applyBorder="1" applyAlignment="1">
      <alignment vertical="center"/>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1"/>
    </xf>
    <xf numFmtId="0" fontId="4" fillId="0" borderId="0" xfId="0" applyNumberFormat="1" applyFont="1" applyAlignment="1">
      <alignment horizontal="right" vertical="center"/>
    </xf>
    <xf numFmtId="49" fontId="16" fillId="12" borderId="13" xfId="0" applyNumberFormat="1" applyFont="1" applyFill="1" applyBorder="1" applyAlignment="1">
      <alignment vertical="center"/>
    </xf>
    <xf numFmtId="0" fontId="74" fillId="3" borderId="0" xfId="0" applyNumberFormat="1" applyFont="1" applyFill="1" applyAlignment="1"/>
    <xf numFmtId="0" fontId="50" fillId="3" borderId="0" xfId="0" applyNumberFormat="1" applyFont="1" applyFill="1" applyAlignment="1">
      <alignment horizontal="center"/>
    </xf>
    <xf numFmtId="49" fontId="10" fillId="0" borderId="3" xfId="0" applyNumberFormat="1" applyFont="1" applyBorder="1" applyAlignment="1">
      <alignment horizontal="center" vertical="center"/>
    </xf>
    <xf numFmtId="0" fontId="10" fillId="0" borderId="3" xfId="0" applyNumberFormat="1" applyFont="1" applyBorder="1" applyAlignment="1">
      <alignment horizontal="left" vertical="center" wrapText="1" indent="1"/>
    </xf>
    <xf numFmtId="49" fontId="4" fillId="3" borderId="0" xfId="0" applyNumberFormat="1" applyFont="1" applyFill="1" applyAlignment="1">
      <alignment vertical="center" wrapText="1"/>
    </xf>
    <xf numFmtId="0" fontId="16" fillId="12" borderId="7" xfId="0" applyNumberFormat="1" applyFont="1" applyFill="1" applyBorder="1" applyAlignment="1">
      <alignment horizontal="left" vertical="center"/>
    </xf>
    <xf numFmtId="49" fontId="10" fillId="3" borderId="3" xfId="0" applyNumberFormat="1" applyFont="1" applyFill="1" applyBorder="1" applyAlignment="1">
      <alignment horizontal="center" vertical="center"/>
    </xf>
    <xf numFmtId="0" fontId="10" fillId="3" borderId="3" xfId="0" applyNumberFormat="1" applyFont="1" applyFill="1" applyBorder="1" applyAlignment="1">
      <alignment vertical="center" wrapText="1"/>
    </xf>
    <xf numFmtId="0" fontId="10" fillId="3" borderId="3" xfId="0" applyNumberFormat="1" applyFont="1" applyFill="1" applyBorder="1" applyAlignment="1">
      <alignment horizontal="left" vertical="center" wrapText="1" indent="1"/>
    </xf>
    <xf numFmtId="49" fontId="10" fillId="0" borderId="3" xfId="0" applyNumberFormat="1" applyFont="1" applyBorder="1" applyAlignment="1">
      <alignment horizontal="left" vertical="center" wrapText="1"/>
    </xf>
    <xf numFmtId="0" fontId="0" fillId="3" borderId="3" xfId="0" applyNumberFormat="1" applyFont="1" applyFill="1" applyBorder="1" applyAlignment="1">
      <alignment horizontal="left" vertical="center" wrapText="1"/>
    </xf>
    <xf numFmtId="0" fontId="0" fillId="3" borderId="4" xfId="0" applyNumberFormat="1" applyFont="1" applyFill="1" applyBorder="1" applyAlignment="1">
      <alignment horizontal="left" vertical="center" wrapText="1"/>
    </xf>
    <xf numFmtId="0" fontId="4" fillId="3" borderId="4" xfId="0" applyNumberFormat="1" applyFont="1" applyFill="1" applyBorder="1" applyAlignment="1">
      <alignment horizontal="left" vertical="top" wrapText="1"/>
    </xf>
    <xf numFmtId="0" fontId="4" fillId="3" borderId="10" xfId="0" applyNumberFormat="1" applyFont="1" applyFill="1" applyBorder="1" applyAlignment="1">
      <alignment horizontal="left" vertical="top" wrapText="1"/>
    </xf>
    <xf numFmtId="0" fontId="4" fillId="3" borderId="11" xfId="0" applyNumberFormat="1" applyFont="1" applyFill="1" applyBorder="1" applyAlignment="1">
      <alignment horizontal="left" vertical="top" wrapText="1"/>
    </xf>
    <xf numFmtId="0" fontId="35" fillId="3" borderId="0" xfId="0" applyNumberFormat="1" applyFont="1" applyFill="1" applyAlignment="1"/>
    <xf numFmtId="0" fontId="0" fillId="3" borderId="6" xfId="0" applyNumberFormat="1" applyFont="1" applyFill="1" applyBorder="1" applyAlignment="1">
      <alignment horizontal="left" vertical="center" wrapText="1" indent="1"/>
    </xf>
    <xf numFmtId="0" fontId="0" fillId="3" borderId="3" xfId="0" applyNumberFormat="1" applyFont="1" applyFill="1" applyBorder="1" applyAlignment="1">
      <alignment vertical="top" wrapText="1"/>
    </xf>
    <xf numFmtId="0" fontId="0" fillId="3" borderId="6" xfId="0" applyNumberFormat="1" applyFont="1" applyFill="1" applyBorder="1" applyAlignment="1">
      <alignment horizontal="left" vertical="center" wrapText="1"/>
    </xf>
    <xf numFmtId="0" fontId="0" fillId="3" borderId="11" xfId="0" applyNumberFormat="1" applyFont="1" applyFill="1" applyBorder="1" applyAlignment="1">
      <alignment vertical="center" wrapText="1"/>
    </xf>
    <xf numFmtId="0" fontId="23" fillId="0" borderId="0" xfId="0" applyNumberFormat="1" applyFont="1" applyAlignment="1">
      <alignment horizontal="left" vertical="top" wrapText="1" indent="1"/>
    </xf>
    <xf numFmtId="0" fontId="32" fillId="3" borderId="0" xfId="0" applyNumberFormat="1" applyFont="1" applyFill="1" applyAlignment="1">
      <alignment horizontal="center"/>
    </xf>
    <xf numFmtId="0" fontId="32" fillId="3" borderId="0" xfId="0" applyNumberFormat="1" applyFont="1" applyFill="1" applyAlignment="1"/>
    <xf numFmtId="0" fontId="75" fillId="3" borderId="0" xfId="0" applyNumberFormat="1" applyFont="1" applyFill="1" applyAlignment="1">
      <alignment horizontal="right" vertical="center"/>
    </xf>
    <xf numFmtId="0" fontId="76" fillId="3" borderId="0" xfId="0" applyNumberFormat="1" applyFont="1" applyFill="1" applyAlignment="1">
      <alignment vertical="center"/>
    </xf>
    <xf numFmtId="0" fontId="75" fillId="3" borderId="0" xfId="0" applyNumberFormat="1" applyFont="1" applyFill="1" applyAlignment="1">
      <alignment horizontal="right" vertical="top"/>
    </xf>
    <xf numFmtId="0" fontId="76" fillId="3" borderId="0" xfId="0" applyNumberFormat="1" applyFont="1" applyFill="1" applyAlignment="1">
      <alignment vertical="center" wrapText="1"/>
    </xf>
    <xf numFmtId="49" fontId="10" fillId="0" borderId="0" xfId="0" applyNumberFormat="1" applyFont="1" applyAlignment="1">
      <alignment horizontal="center" vertical="center"/>
    </xf>
    <xf numFmtId="0" fontId="4" fillId="0" borderId="14" xfId="0" applyNumberFormat="1" applyFont="1" applyBorder="1" applyAlignment="1">
      <alignment horizontal="left" vertical="center" wrapText="1"/>
    </xf>
    <xf numFmtId="0" fontId="15" fillId="0" borderId="0" xfId="0" applyNumberFormat="1" applyFont="1" applyAlignment="1">
      <alignment vertical="center"/>
    </xf>
    <xf numFmtId="49" fontId="8" fillId="0" borderId="0" xfId="0" applyNumberFormat="1" applyFont="1" applyAlignment="1">
      <alignment horizontal="center" vertical="center"/>
    </xf>
    <xf numFmtId="0" fontId="77" fillId="0" borderId="0" xfId="0" applyNumberFormat="1" applyFont="1" applyAlignment="1">
      <alignment vertical="center" wrapText="1"/>
    </xf>
    <xf numFmtId="0" fontId="78" fillId="0" borderId="0" xfId="0" applyNumberFormat="1" applyFont="1" applyAlignment="1">
      <alignment vertical="center" wrapText="1"/>
    </xf>
    <xf numFmtId="0" fontId="79" fillId="0" borderId="0" xfId="0" applyNumberFormat="1" applyFont="1" applyAlignment="1">
      <alignment vertical="center"/>
    </xf>
    <xf numFmtId="0" fontId="21" fillId="0" borderId="0" xfId="0" applyNumberFormat="1" applyFont="1" applyAlignment="1">
      <alignment vertical="center"/>
    </xf>
    <xf numFmtId="0" fontId="80" fillId="0" borderId="0" xfId="0" applyNumberFormat="1" applyFont="1" applyAlignment="1">
      <alignment vertical="center"/>
    </xf>
    <xf numFmtId="0" fontId="4" fillId="0" borderId="9" xfId="0" applyNumberFormat="1" applyFont="1" applyBorder="1" applyAlignment="1">
      <alignment horizontal="left" vertical="center" indent="1"/>
    </xf>
    <xf numFmtId="0" fontId="7" fillId="0" borderId="12" xfId="0" applyNumberFormat="1" applyFont="1" applyBorder="1" applyAlignment="1">
      <alignment horizontal="left" vertical="center" wrapText="1" indent="1"/>
    </xf>
    <xf numFmtId="0" fontId="7" fillId="0" borderId="10" xfId="0" applyNumberFormat="1" applyFont="1" applyBorder="1" applyAlignment="1">
      <alignment horizontal="left" vertical="center" wrapText="1" indent="1"/>
    </xf>
    <xf numFmtId="0" fontId="81" fillId="0" borderId="0" xfId="0" applyNumberFormat="1" applyFont="1" applyAlignment="1">
      <alignment vertical="center"/>
    </xf>
    <xf numFmtId="49" fontId="10" fillId="3" borderId="0" xfId="0" applyNumberFormat="1" applyFont="1" applyFill="1" applyAlignment="1">
      <alignment horizontal="center" vertical="center" wrapText="1"/>
    </xf>
    <xf numFmtId="49" fontId="10" fillId="3" borderId="9" xfId="0" applyNumberFormat="1" applyFont="1" applyFill="1" applyBorder="1" applyAlignment="1">
      <alignment horizontal="center" vertical="center" wrapText="1"/>
    </xf>
    <xf numFmtId="0" fontId="0" fillId="0" borderId="3" xfId="0" applyNumberFormat="1" applyFont="1" applyBorder="1" applyAlignment="1">
      <alignment horizontal="center" vertical="top"/>
    </xf>
    <xf numFmtId="0" fontId="4" fillId="13" borderId="3" xfId="0" applyNumberFormat="1" applyFont="1" applyFill="1" applyBorder="1" applyAlignment="1" applyProtection="1">
      <alignment horizontal="left" vertical="top" wrapText="1"/>
      <protection locked="0"/>
    </xf>
    <xf numFmtId="0" fontId="0" fillId="13" borderId="3" xfId="0" applyNumberFormat="1" applyFont="1" applyFill="1" applyBorder="1" applyAlignment="1" applyProtection="1">
      <alignment horizontal="left" vertical="top"/>
      <protection locked="0"/>
    </xf>
    <xf numFmtId="0" fontId="0" fillId="0" borderId="4" xfId="0" applyNumberFormat="1" applyFont="1" applyBorder="1" applyAlignment="1">
      <alignment horizontal="center" vertical="top"/>
    </xf>
    <xf numFmtId="0" fontId="0" fillId="0" borderId="10" xfId="0" applyNumberFormat="1" applyFont="1" applyBorder="1" applyAlignment="1">
      <alignment horizontal="center" vertical="top"/>
    </xf>
    <xf numFmtId="0" fontId="0" fillId="0" borderId="11" xfId="0" applyNumberFormat="1" applyFont="1" applyBorder="1" applyAlignment="1">
      <alignment horizontal="center" vertical="top"/>
    </xf>
    <xf numFmtId="0" fontId="82" fillId="0" borderId="0" xfId="0" applyNumberFormat="1" applyFont="1" applyAlignment="1">
      <alignment vertical="center"/>
    </xf>
    <xf numFmtId="0" fontId="7" fillId="0" borderId="16" xfId="0" applyNumberFormat="1" applyFont="1" applyBorder="1" applyAlignment="1">
      <alignment horizontal="left" vertical="center" wrapText="1" indent="1"/>
    </xf>
    <xf numFmtId="49" fontId="0" fillId="0" borderId="3" xfId="0" applyNumberFormat="1" applyFont="1" applyBorder="1" applyAlignment="1">
      <alignment horizontal="left" vertical="center"/>
    </xf>
    <xf numFmtId="0" fontId="83" fillId="0" borderId="0" xfId="0" applyNumberFormat="1" applyFont="1" applyAlignment="1">
      <alignment vertical="center"/>
    </xf>
    <xf numFmtId="49" fontId="4" fillId="0" borderId="0" xfId="0" applyNumberFormat="1" applyFont="1" applyAlignment="1">
      <alignment horizontal="left" vertical="center" indent="1"/>
    </xf>
    <xf numFmtId="0" fontId="0" fillId="0" borderId="0" xfId="0" applyNumberFormat="1" applyFont="1" applyAlignment="1">
      <alignment horizontal="left" vertical="top" wrapText="1" indent="1"/>
    </xf>
    <xf numFmtId="0" fontId="0" fillId="0" borderId="0" xfId="0" applyNumberFormat="1" applyFont="1" applyAlignment="1">
      <alignment vertical="top" wrapText="1"/>
    </xf>
    <xf numFmtId="49" fontId="0" fillId="3" borderId="3" xfId="0" applyNumberFormat="1" applyFont="1" applyFill="1" applyBorder="1" applyAlignment="1">
      <alignment horizontal="left" vertical="center" wrapText="1"/>
    </xf>
    <xf numFmtId="0" fontId="4" fillId="0" borderId="17" xfId="0" applyNumberFormat="1" applyFont="1" applyBorder="1" applyAlignment="1">
      <alignment horizontal="left" vertical="center" indent="1"/>
    </xf>
    <xf numFmtId="0" fontId="4" fillId="0" borderId="11" xfId="0" applyNumberFormat="1" applyFont="1" applyBorder="1" applyAlignment="1">
      <alignment horizontal="left" vertical="center" inden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 fillId="27" borderId="0" xfId="0" applyNumberFormat="1" applyFont="1" applyFill="1" applyAlignment="1">
      <alignment horizontal="center" vertical="center" wrapText="1"/>
    </xf>
    <xf numFmtId="0" fontId="32" fillId="0" borderId="14" xfId="0" applyNumberFormat="1" applyFont="1" applyBorder="1" applyAlignment="1">
      <alignment horizontal="center" vertical="center" wrapText="1"/>
    </xf>
    <xf numFmtId="0" fontId="32" fillId="0" borderId="8" xfId="0" applyNumberFormat="1" applyFont="1" applyBorder="1" applyAlignment="1">
      <alignment horizontal="center" vertical="center" wrapText="1"/>
    </xf>
    <xf numFmtId="0" fontId="84" fillId="0" borderId="0" xfId="0" applyNumberFormat="1" applyFont="1" applyAlignment="1">
      <alignment horizontal="center" vertical="center" wrapText="1"/>
    </xf>
    <xf numFmtId="0" fontId="4" fillId="0" borderId="54" xfId="0" applyNumberFormat="1" applyFont="1" applyBorder="1" applyAlignment="1">
      <alignment horizontal="center" vertical="center" wrapText="1"/>
    </xf>
    <xf numFmtId="0" fontId="4" fillId="0" borderId="55"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49" fontId="27" fillId="0" borderId="56" xfId="0" applyNumberFormat="1" applyFont="1" applyBorder="1" applyAlignment="1">
      <alignment horizontal="center" vertical="center" wrapText="1"/>
    </xf>
    <xf numFmtId="49" fontId="27" fillId="0" borderId="57" xfId="0" applyNumberFormat="1" applyFont="1" applyBorder="1" applyAlignment="1">
      <alignment horizontal="center" vertical="center" wrapText="1"/>
    </xf>
    <xf numFmtId="0" fontId="4" fillId="12" borderId="6" xfId="0" applyNumberFormat="1" applyFont="1" applyFill="1" applyBorder="1" applyAlignment="1">
      <alignment horizontal="center" vertical="center" wrapText="1"/>
    </xf>
    <xf numFmtId="49" fontId="4" fillId="12" borderId="58" xfId="0" applyNumberFormat="1" applyFont="1" applyFill="1" applyBorder="1" applyAlignment="1">
      <alignment horizontal="center" vertical="center" wrapText="1"/>
    </xf>
    <xf numFmtId="186" fontId="28" fillId="0" borderId="59" xfId="0" applyNumberFormat="1" applyFont="1" applyBorder="1" applyAlignment="1">
      <alignment horizontal="center" vertical="center" wrapText="1"/>
    </xf>
    <xf numFmtId="0" fontId="4" fillId="0" borderId="59" xfId="0" applyNumberFormat="1" applyFont="1" applyBorder="1" applyAlignment="1">
      <alignment horizontal="center" vertical="center" wrapText="1"/>
    </xf>
    <xf numFmtId="49" fontId="3" fillId="12" borderId="28" xfId="0" applyNumberFormat="1" applyFont="1" applyFill="1" applyBorder="1" applyAlignment="1">
      <alignment horizontal="right" vertical="center" wrapText="1"/>
    </xf>
    <xf numFmtId="49" fontId="3" fillId="12" borderId="27" xfId="0" applyNumberFormat="1" applyFont="1" applyFill="1" applyBorder="1" applyAlignment="1">
      <alignment horizontal="right" vertical="center" wrapText="1"/>
    </xf>
    <xf numFmtId="0" fontId="32" fillId="27" borderId="0" xfId="0" applyNumberFormat="1" applyFont="1" applyFill="1">
      <alignment vertical="top"/>
    </xf>
    <xf numFmtId="0" fontId="4" fillId="0" borderId="15" xfId="0" applyNumberFormat="1" applyFont="1" applyBorder="1" applyAlignment="1">
      <alignment horizontal="left" vertical="center" indent="1"/>
    </xf>
    <xf numFmtId="0" fontId="32" fillId="0" borderId="3" xfId="0" applyNumberFormat="1" applyFont="1" applyBorder="1" applyAlignment="1">
      <alignment horizontal="center" vertical="center" wrapText="1"/>
    </xf>
    <xf numFmtId="49" fontId="27" fillId="0" borderId="6" xfId="0" applyNumberFormat="1" applyFont="1" applyBorder="1" applyAlignment="1">
      <alignment horizontal="center" vertical="center" wrapText="1"/>
    </xf>
    <xf numFmtId="49" fontId="27" fillId="0" borderId="13" xfId="0" applyNumberFormat="1" applyFont="1" applyBorder="1" applyAlignment="1">
      <alignment horizontal="center" vertical="center" wrapText="1"/>
    </xf>
    <xf numFmtId="49" fontId="0" fillId="12" borderId="7" xfId="0" applyNumberFormat="1" applyFont="1" applyFill="1" applyBorder="1" applyAlignment="1">
      <alignment horizontal="left" vertical="center"/>
    </xf>
    <xf numFmtId="0" fontId="0" fillId="12" borderId="13" xfId="0" applyNumberFormat="1" applyFont="1" applyFill="1" applyBorder="1" applyAlignment="1">
      <alignment vertical="center"/>
    </xf>
    <xf numFmtId="0" fontId="4" fillId="10" borderId="4" xfId="0" applyNumberFormat="1" applyFont="1" applyFill="1" applyBorder="1" applyAlignment="1">
      <alignment horizontal="left" vertical="center" wrapText="1" indent="1"/>
    </xf>
    <xf numFmtId="0" fontId="4" fillId="10" borderId="11" xfId="0" applyNumberFormat="1" applyFont="1" applyFill="1" applyBorder="1" applyAlignment="1">
      <alignment horizontal="left" vertical="center" wrapText="1" indent="1"/>
    </xf>
    <xf numFmtId="0" fontId="68" fillId="0" borderId="0" xfId="0" applyNumberFormat="1" applyFont="1" applyAlignment="1">
      <alignment horizontal="left" vertical="center" wrapText="1" indent="1"/>
    </xf>
    <xf numFmtId="185" fontId="4" fillId="0" borderId="0" xfId="0" applyNumberFormat="1" applyFont="1" applyAlignment="1">
      <alignment horizontal="center" vertical="center" wrapText="1"/>
    </xf>
    <xf numFmtId="49" fontId="27" fillId="0" borderId="7" xfId="0" applyNumberFormat="1" applyFont="1" applyBorder="1" applyAlignment="1">
      <alignment horizontal="center" vertical="center" wrapText="1"/>
    </xf>
    <xf numFmtId="49" fontId="4" fillId="12" borderId="8" xfId="0" applyNumberFormat="1" applyFont="1" applyFill="1" applyBorder="1" applyAlignment="1">
      <alignment horizontal="center" vertical="center" wrapText="1"/>
    </xf>
    <xf numFmtId="49" fontId="8" fillId="12" borderId="8" xfId="0" applyNumberFormat="1" applyFont="1" applyFill="1" applyBorder="1" applyAlignment="1">
      <alignment horizontal="left" vertical="center" wrapText="1"/>
    </xf>
    <xf numFmtId="49" fontId="4" fillId="12" borderId="6" xfId="0" applyNumberFormat="1" applyFont="1" applyFill="1" applyBorder="1" applyAlignment="1">
      <alignment horizontal="right" vertical="center" wrapText="1"/>
    </xf>
    <xf numFmtId="49" fontId="4" fillId="12" borderId="7" xfId="0" applyNumberFormat="1" applyFont="1" applyFill="1" applyBorder="1" applyAlignment="1">
      <alignment horizontal="right" vertical="center" wrapText="1"/>
    </xf>
    <xf numFmtId="0" fontId="85" fillId="0" borderId="0" xfId="0" applyNumberFormat="1" applyFont="1" applyAlignment="1">
      <alignment horizontal="left" vertical="center" indent="1"/>
    </xf>
    <xf numFmtId="49" fontId="8" fillId="12" borderId="33" xfId="0" applyNumberFormat="1" applyFont="1" applyFill="1" applyBorder="1" applyAlignment="1">
      <alignment horizontal="left" vertical="center" wrapText="1"/>
    </xf>
    <xf numFmtId="0" fontId="10" fillId="0" borderId="16" xfId="0" applyNumberFormat="1" applyFont="1" applyBorder="1" applyAlignment="1">
      <alignment vertical="center"/>
    </xf>
    <xf numFmtId="49" fontId="4" fillId="12" borderId="13" xfId="0" applyNumberFormat="1" applyFont="1" applyFill="1" applyBorder="1" applyAlignment="1">
      <alignment horizontal="right" vertical="center" wrapText="1"/>
    </xf>
    <xf numFmtId="0" fontId="25" fillId="0" borderId="0" xfId="0" applyNumberFormat="1" applyFont="1" applyAlignment="1">
      <alignment horizontal="left" vertical="center" wrapText="1"/>
    </xf>
    <xf numFmtId="0" fontId="86" fillId="0" borderId="0" xfId="0" applyNumberFormat="1" applyFont="1" applyAlignment="1">
      <alignment vertical="center" wrapText="1"/>
    </xf>
    <xf numFmtId="0" fontId="20" fillId="0" borderId="0" xfId="0" applyNumberFormat="1" applyFont="1" applyAlignment="1">
      <alignment horizontal="center" vertical="center" wrapText="1"/>
    </xf>
    <xf numFmtId="0" fontId="63" fillId="0" borderId="0" xfId="0" applyNumberFormat="1" applyFont="1" applyAlignment="1">
      <alignment horizontal="left" vertical="center" wrapText="1"/>
    </xf>
    <xf numFmtId="0" fontId="4" fillId="0" borderId="0" xfId="0" applyNumberFormat="1" applyFont="1" applyAlignment="1">
      <alignment horizontal="left" vertical="top" indent="1"/>
    </xf>
    <xf numFmtId="49" fontId="87" fillId="0" borderId="0" xfId="0" applyNumberFormat="1" applyFont="1">
      <alignment vertical="top"/>
    </xf>
    <xf numFmtId="0" fontId="71" fillId="0" borderId="0" xfId="0" applyNumberFormat="1" applyFont="1" applyAlignment="1">
      <alignment horizontal="left" vertical="center" wrapText="1"/>
    </xf>
    <xf numFmtId="0" fontId="88" fillId="0" borderId="0" xfId="0" applyNumberFormat="1" applyFont="1" applyAlignment="1">
      <alignment vertical="center" wrapText="1"/>
    </xf>
    <xf numFmtId="0" fontId="26" fillId="0" borderId="0" xfId="0" applyNumberFormat="1" applyFont="1" applyAlignment="1">
      <alignment horizontal="right" vertical="center"/>
    </xf>
    <xf numFmtId="0" fontId="89" fillId="3" borderId="0" xfId="0" applyNumberFormat="1" applyFont="1" applyFill="1" applyAlignment="1">
      <alignment vertical="center" wrapText="1"/>
    </xf>
    <xf numFmtId="0" fontId="3" fillId="3" borderId="0" xfId="0" applyNumberFormat="1" applyFont="1" applyFill="1" applyAlignment="1">
      <alignment vertical="center" wrapText="1"/>
    </xf>
    <xf numFmtId="0" fontId="26" fillId="3" borderId="0" xfId="0" applyNumberFormat="1" applyFont="1" applyFill="1" applyAlignment="1">
      <alignment horizontal="right" vertical="center" wrapText="1" indent="1"/>
    </xf>
    <xf numFmtId="0" fontId="90" fillId="3" borderId="0" xfId="0" applyNumberFormat="1" applyFont="1" applyFill="1" applyAlignment="1">
      <alignment horizontal="center" vertical="center" wrapText="1"/>
    </xf>
    <xf numFmtId="0" fontId="4" fillId="3" borderId="60" xfId="0" applyNumberFormat="1" applyFont="1" applyFill="1" applyBorder="1" applyAlignment="1">
      <alignment horizontal="right" vertical="center" wrapText="1" indent="1"/>
    </xf>
    <xf numFmtId="186" fontId="25" fillId="3" borderId="0" xfId="0" applyNumberFormat="1" applyFont="1" applyFill="1" applyAlignment="1">
      <alignment horizontal="left" vertical="center" wrapText="1"/>
    </xf>
    <xf numFmtId="0" fontId="71" fillId="3" borderId="0" xfId="0" applyNumberFormat="1" applyFont="1" applyFill="1" applyAlignment="1">
      <alignment horizontal="center" vertical="center" wrapText="1"/>
    </xf>
    <xf numFmtId="0" fontId="26" fillId="3" borderId="0" xfId="0" applyNumberFormat="1" applyFont="1" applyFill="1" applyAlignment="1">
      <alignment horizontal="left" vertical="center" wrapText="1" indent="1"/>
    </xf>
    <xf numFmtId="0" fontId="4" fillId="13" borderId="3" xfId="0" applyNumberFormat="1" applyFont="1" applyFill="1" applyBorder="1" applyAlignment="1" applyProtection="1">
      <alignment horizontal="left" vertical="top" wrapText="1" indent="1"/>
      <protection locked="0"/>
    </xf>
    <xf numFmtId="186" fontId="53" fillId="0" borderId="3" xfId="0" applyNumberFormat="1" applyFont="1" applyBorder="1" applyAlignment="1">
      <alignment horizontal="center" vertical="center" wrapText="1"/>
    </xf>
    <xf numFmtId="0" fontId="45" fillId="0" borderId="0" xfId="0" applyNumberFormat="1" applyFont="1" applyAlignment="1">
      <alignment horizontal="left" vertical="center" indent="1"/>
    </xf>
    <xf numFmtId="186" fontId="53" fillId="0" borderId="3" xfId="0" applyNumberFormat="1" applyFont="1" applyBorder="1" applyAlignment="1">
      <alignment horizontal="left" vertical="center" wrapText="1"/>
    </xf>
    <xf numFmtId="49" fontId="4" fillId="3" borderId="60" xfId="0" applyNumberFormat="1" applyFont="1" applyFill="1" applyBorder="1" applyAlignment="1">
      <alignment horizontal="right" vertical="center" wrapText="1" indent="1"/>
    </xf>
    <xf numFmtId="0" fontId="4" fillId="3" borderId="0" xfId="0" applyNumberFormat="1" applyFont="1" applyFill="1" applyAlignment="1">
      <alignment horizontal="right" vertical="center" wrapText="1" indent="1"/>
    </xf>
    <xf numFmtId="0" fontId="86" fillId="0" borderId="0" xfId="0" applyNumberFormat="1" applyFont="1" applyAlignment="1">
      <alignment horizontal="center" vertical="center" wrapText="1"/>
    </xf>
    <xf numFmtId="0" fontId="91" fillId="3" borderId="0" xfId="0" applyNumberFormat="1" applyFont="1" applyFill="1" applyAlignment="1">
      <alignment horizontal="center" vertical="center" wrapText="1"/>
    </xf>
    <xf numFmtId="49" fontId="4" fillId="2" borderId="3" xfId="0" applyNumberFormat="1" applyFont="1" applyFill="1" applyBorder="1" applyAlignment="1">
      <alignment horizontal="left" vertical="center" wrapText="1" indent="1"/>
    </xf>
    <xf numFmtId="186" fontId="4" fillId="3" borderId="0" xfId="0" applyNumberFormat="1" applyFont="1" applyFill="1" applyAlignment="1">
      <alignment horizontal="center" vertical="center" wrapText="1"/>
    </xf>
    <xf numFmtId="0" fontId="0" fillId="3" borderId="60" xfId="0" applyNumberFormat="1" applyFont="1" applyFill="1" applyBorder="1" applyAlignment="1">
      <alignment horizontal="right" vertical="center" wrapText="1" indent="1"/>
    </xf>
    <xf numFmtId="186" fontId="4" fillId="3" borderId="0" xfId="0" applyNumberFormat="1" applyFont="1" applyFill="1" applyAlignment="1">
      <alignment horizontal="left" vertical="center" wrapText="1"/>
    </xf>
    <xf numFmtId="0" fontId="50" fillId="3" borderId="0" xfId="0" applyNumberFormat="1" applyFont="1" applyFill="1" applyAlignment="1">
      <alignment horizontal="right" vertical="center" wrapText="1" indent="1"/>
    </xf>
    <xf numFmtId="0" fontId="50" fillId="3" borderId="0" xfId="0" applyNumberFormat="1" applyFont="1" applyFill="1" applyAlignment="1">
      <alignment horizontal="left" vertical="center" wrapText="1" indent="1"/>
    </xf>
    <xf numFmtId="49" fontId="92" fillId="0" borderId="3" xfId="0" applyNumberFormat="1" applyFont="1" applyBorder="1" applyAlignment="1">
      <alignment horizontal="left" vertical="center" wrapText="1" indent="1"/>
    </xf>
    <xf numFmtId="186" fontId="93" fillId="0" borderId="0" xfId="0" applyNumberFormat="1" applyFont="1" applyAlignment="1">
      <alignment horizontal="center" vertical="center" wrapText="1"/>
    </xf>
    <xf numFmtId="186" fontId="0" fillId="0" borderId="1" xfId="0" applyNumberFormat="1" applyFont="1" applyBorder="1" applyAlignment="1">
      <alignment horizontal="left" vertical="center" wrapText="1" indent="1"/>
    </xf>
    <xf numFmtId="49" fontId="20" fillId="0" borderId="0" xfId="0" applyNumberFormat="1" applyFont="1" applyAlignment="1">
      <alignment horizontal="left" vertical="center" wrapText="1"/>
    </xf>
    <xf numFmtId="49" fontId="89" fillId="3" borderId="0" xfId="0" applyNumberFormat="1" applyFont="1" applyFill="1" applyAlignment="1">
      <alignment horizontal="center" vertical="center" wrapText="1"/>
    </xf>
    <xf numFmtId="0" fontId="94" fillId="0" borderId="0" xfId="0" applyNumberFormat="1" applyFont="1" applyAlignment="1">
      <alignment vertical="center" wrapText="1"/>
    </xf>
    <xf numFmtId="0" fontId="73" fillId="0" borderId="0" xfId="0" applyNumberFormat="1" applyFont="1" applyAlignment="1">
      <alignment horizontal="center" vertical="center" wrapText="1"/>
    </xf>
    <xf numFmtId="0" fontId="0" fillId="3" borderId="0" xfId="0" applyNumberFormat="1" applyFont="1" applyFill="1" applyAlignment="1">
      <alignment horizontal="right" vertical="center" wrapText="1" indent="1"/>
    </xf>
    <xf numFmtId="0" fontId="94" fillId="0" borderId="0" xfId="0" applyNumberFormat="1" applyFont="1" applyAlignment="1">
      <alignment horizontal="left" vertical="center" wrapText="1"/>
    </xf>
    <xf numFmtId="0" fontId="0" fillId="3" borderId="0" xfId="0" applyNumberFormat="1" applyFont="1" applyFill="1" applyAlignment="1">
      <alignment horizontal="left" vertical="center" wrapText="1" indent="1"/>
    </xf>
    <xf numFmtId="0" fontId="4" fillId="0" borderId="0" xfId="0" applyNumberFormat="1" applyFont="1" applyAlignment="1">
      <alignment horizontal="left" vertical="center" wrapText="1" indent="4"/>
    </xf>
    <xf numFmtId="0" fontId="0" fillId="0" borderId="0" xfId="0" applyNumberFormat="1" applyFont="1" applyAlignment="1">
      <alignment horizontal="center" vertical="center" wrapText="1"/>
    </xf>
    <xf numFmtId="49" fontId="4" fillId="3" borderId="0" xfId="0" applyNumberFormat="1" applyFont="1" applyFill="1" applyAlignment="1">
      <alignment horizontal="right" vertical="center" wrapText="1" indent="1"/>
    </xf>
    <xf numFmtId="49" fontId="0" fillId="3" borderId="0" xfId="0" applyNumberFormat="1" applyFont="1" applyFill="1" applyAlignment="1">
      <alignment horizontal="right" vertical="center" wrapText="1" indent="1"/>
    </xf>
    <xf numFmtId="0" fontId="3" fillId="0" borderId="0" xfId="0" applyNumberFormat="1" applyFont="1" applyAlignment="1">
      <alignment vertical="top" wrapText="1"/>
    </xf>
    <xf numFmtId="0" fontId="95" fillId="0" borderId="0" xfId="0" applyNumberFormat="1" applyFont="1" applyAlignment="1">
      <alignment wrapText="1"/>
    </xf>
    <xf numFmtId="49" fontId="87" fillId="0" borderId="0" xfId="0" applyNumberFormat="1" applyFont="1" applyAlignment="1">
      <alignment wrapText="1"/>
    </xf>
    <xf numFmtId="0" fontId="55" fillId="0" borderId="0" xfId="0" applyNumberFormat="1" applyFont="1" applyAlignment="1">
      <alignment vertical="center" wrapText="1"/>
    </xf>
    <xf numFmtId="0" fontId="55" fillId="0" borderId="0" xfId="0" applyNumberFormat="1" applyFont="1" applyAlignment="1">
      <alignment vertical="center"/>
    </xf>
    <xf numFmtId="0" fontId="2" fillId="0" borderId="0" xfId="0" applyNumberFormat="1" applyFont="1" applyAlignment="1">
      <alignment horizontal="left" vertical="top" wrapText="1"/>
    </xf>
    <xf numFmtId="49" fontId="96" fillId="0" borderId="0" xfId="0" applyNumberFormat="1" applyFont="1" applyAlignment="1">
      <alignment wrapText="1"/>
    </xf>
    <xf numFmtId="0" fontId="2" fillId="28" borderId="61" xfId="0" applyNumberFormat="1" applyFont="1" applyFill="1" applyBorder="1" applyAlignment="1">
      <alignment horizontal="center" vertical="center" wrapText="1"/>
    </xf>
    <xf numFmtId="0" fontId="2" fillId="28" borderId="62" xfId="0" applyNumberFormat="1" applyFont="1" applyFill="1" applyBorder="1" applyAlignment="1">
      <alignment horizontal="center" vertical="center" wrapText="1"/>
    </xf>
    <xf numFmtId="0" fontId="87" fillId="0" borderId="0" xfId="0" applyNumberFormat="1" applyFont="1" applyAlignment="1">
      <alignment wrapText="1"/>
    </xf>
    <xf numFmtId="0" fontId="2" fillId="24" borderId="44" xfId="0" applyNumberFormat="1" applyFont="1" applyFill="1" applyBorder="1" applyAlignment="1">
      <alignment horizontal="right" vertical="center" wrapText="1" indent="1"/>
    </xf>
    <xf numFmtId="0" fontId="2" fillId="24" borderId="63" xfId="0" applyNumberFormat="1" applyFont="1" applyFill="1" applyBorder="1" applyAlignment="1">
      <alignment horizontal="right" vertical="center" wrapText="1" indent="1"/>
    </xf>
    <xf numFmtId="0" fontId="97" fillId="0" borderId="0" xfId="0" applyNumberFormat="1" applyFont="1" applyAlignment="1">
      <alignment horizontal="left" vertical="center" wrapText="1"/>
    </xf>
    <xf numFmtId="0" fontId="97" fillId="0" borderId="0" xfId="0" applyNumberFormat="1" applyFont="1" applyAlignment="1"/>
    <xf numFmtId="0" fontId="98" fillId="0" borderId="0" xfId="0" applyNumberFormat="1" applyFont="1" applyAlignment="1">
      <alignment wrapText="1"/>
    </xf>
    <xf numFmtId="0" fontId="0" fillId="11" borderId="45" xfId="0" applyNumberFormat="1" applyFont="1" applyFill="1" applyBorder="1" applyAlignment="1">
      <alignment horizontal="center" vertical="center" wrapText="1"/>
    </xf>
    <xf numFmtId="0" fontId="98" fillId="0" borderId="44" xfId="0" applyNumberFormat="1" applyFont="1" applyBorder="1" applyAlignment="1">
      <alignment vertical="center" wrapText="1"/>
    </xf>
    <xf numFmtId="0" fontId="98" fillId="0" borderId="0" xfId="0" applyNumberFormat="1" applyFont="1" applyAlignment="1">
      <alignment vertical="center" wrapText="1"/>
    </xf>
    <xf numFmtId="0" fontId="0" fillId="2" borderId="45" xfId="0" applyNumberFormat="1" applyFont="1" applyFill="1" applyBorder="1" applyAlignment="1">
      <alignment horizontal="center" vertical="center" wrapText="1"/>
    </xf>
    <xf numFmtId="0" fontId="2" fillId="24" borderId="0" xfId="0" applyNumberFormat="1" applyFont="1" applyFill="1" applyAlignment="1">
      <alignment horizontal="right" vertical="center" wrapText="1" indent="1"/>
    </xf>
    <xf numFmtId="0" fontId="97" fillId="0" borderId="44" xfId="0" applyNumberFormat="1" applyFont="1" applyBorder="1" applyAlignment="1">
      <alignment horizontal="left" vertical="center" wrapText="1"/>
    </xf>
    <xf numFmtId="0" fontId="97" fillId="0" borderId="46" xfId="0" applyNumberFormat="1" applyFont="1" applyBorder="1" applyAlignment="1">
      <alignment horizontal="left" vertical="center" wrapText="1"/>
    </xf>
    <xf numFmtId="0" fontId="2" fillId="24" borderId="45" xfId="0" applyNumberFormat="1" applyFont="1" applyFill="1" applyBorder="1" applyAlignment="1">
      <alignment horizontal="right" vertical="center" wrapText="1" indent="1"/>
    </xf>
    <xf numFmtId="0" fontId="2" fillId="24" borderId="47" xfId="0" applyNumberFormat="1" applyFont="1" applyFill="1" applyBorder="1" applyAlignment="1">
      <alignment horizontal="right" vertical="center" wrapText="1" indent="1"/>
    </xf>
    <xf numFmtId="0" fontId="98" fillId="0" borderId="0" xfId="0" applyNumberFormat="1" applyFont="1" applyAlignment="1"/>
    <xf numFmtId="0" fontId="98" fillId="0" borderId="44" xfId="0" applyNumberFormat="1" applyFont="1" applyBorder="1" applyAlignment="1">
      <alignment wrapText="1"/>
    </xf>
    <xf numFmtId="0" fontId="98" fillId="0" borderId="0" xfId="0" applyNumberFormat="1" applyFont="1" applyAlignment="1">
      <alignment vertical="top" wrapText="1"/>
    </xf>
    <xf numFmtId="0" fontId="2" fillId="24" borderId="64" xfId="0" applyNumberFormat="1" applyFont="1" applyFill="1" applyBorder="1" applyAlignment="1">
      <alignment horizontal="right" vertical="center" wrapText="1" indent="1"/>
    </xf>
    <xf numFmtId="0" fontId="2" fillId="24" borderId="42" xfId="0" applyNumberFormat="1" applyFont="1" applyFill="1" applyBorder="1" applyAlignment="1">
      <alignment horizontal="right" vertical="center" wrapText="1" indent="1"/>
    </xf>
    <xf numFmtId="0" fontId="87" fillId="0" borderId="64" xfId="0" applyNumberFormat="1" applyFont="1" applyBorder="1" applyAlignment="1">
      <alignment wrapText="1"/>
    </xf>
    <xf numFmtId="0" fontId="87" fillId="0" borderId="42" xfId="0" applyNumberFormat="1" applyFont="1" applyBorder="1" applyAlignment="1">
      <alignment wrapText="1"/>
    </xf>
    <xf numFmtId="49" fontId="87" fillId="0" borderId="0" xfId="0" applyNumberFormat="1" applyFont="1" applyAlignment="1">
      <alignment vertical="top" wrapText="1"/>
    </xf>
    <xf numFmtId="0" fontId="0" fillId="29" borderId="45" xfId="0" applyNumberFormat="1" applyFont="1" applyFill="1" applyBorder="1" applyAlignment="1">
      <alignment horizontal="center" vertical="center" wrapText="1"/>
    </xf>
    <xf numFmtId="0" fontId="98" fillId="0" borderId="44" xfId="0" applyNumberFormat="1" applyFont="1" applyBorder="1" applyAlignment="1">
      <alignment horizontal="left" vertical="center" wrapText="1"/>
    </xf>
    <xf numFmtId="0" fontId="0" fillId="13" borderId="45" xfId="0" applyNumberFormat="1" applyFont="1" applyFill="1" applyBorder="1" applyAlignment="1">
      <alignment horizontal="center" vertical="center" wrapText="1"/>
    </xf>
    <xf numFmtId="0" fontId="55" fillId="0" borderId="0" xfId="0" applyNumberFormat="1" applyFont="1" applyAlignment="1">
      <alignment horizontal="left" vertical="center" wrapText="1"/>
    </xf>
    <xf numFmtId="0" fontId="98" fillId="0" borderId="0" xfId="0" applyNumberFormat="1" applyFont="1" applyAlignment="1">
      <alignment horizontal="left" vertical="center" wrapText="1"/>
    </xf>
    <xf numFmtId="49" fontId="87" fillId="0" borderId="0" xfId="0" applyNumberFormat="1" applyFont="1" applyAlignment="1">
      <alignment vertical="center" wrapText="1"/>
    </xf>
    <xf numFmtId="49" fontId="99" fillId="0" borderId="0" xfId="0" applyNumberFormat="1" applyFont="1" applyAlignment="1">
      <alignment wrapText="1"/>
    </xf>
    <xf numFmtId="0" fontId="2" fillId="28" borderId="65" xfId="0" applyNumberFormat="1" applyFont="1" applyFill="1" applyBorder="1" applyAlignment="1">
      <alignment horizontal="center" vertical="center" wrapText="1"/>
    </xf>
    <xf numFmtId="0" fontId="100" fillId="0" borderId="0" xfId="0" applyNumberFormat="1" applyFont="1" applyAlignment="1">
      <alignment vertical="center" wrapText="1"/>
    </xf>
    <xf numFmtId="0" fontId="87" fillId="0" borderId="44" xfId="0" applyNumberFormat="1" applyFont="1" applyBorder="1" applyAlignment="1">
      <alignment wrapText="1"/>
    </xf>
    <xf numFmtId="0" fontId="87" fillId="0" borderId="0" xfId="0" applyNumberFormat="1" applyFont="1" applyAlignment="1"/>
    <xf numFmtId="0" fontId="87" fillId="0" borderId="42" xfId="0" applyNumberFormat="1" applyFont="1" applyBorder="1" applyAlignment="1">
      <alignment vertical="center" wrapText="1"/>
    </xf>
    <xf numFmtId="0" fontId="99" fillId="0" borderId="0" xfId="0" applyNumberFormat="1" applyFont="1" applyAlignment="1"/>
    <xf numFmtId="0" fontId="0" fillId="0" borderId="0" xfId="0" applyNumberFormat="1" applyFont="1" applyAlignment="1" quotePrefix="1">
      <alignment horizontal="left" vertical="top" wrapText="1" indent="1"/>
    </xf>
  </cellXfs>
  <cellStyles count="78">
    <cellStyle name="Обычный" xfId="0" builtinId="0"/>
    <cellStyle name="Запятая" xfId="1" builtinId="3"/>
    <cellStyle name="Денежный" xfId="2" builtinId="4"/>
    <cellStyle name="Процент" xfId="3" builtinId="5"/>
    <cellStyle name="Запятая [0]" xfId="4" builtinId="6"/>
    <cellStyle name="Денежный [0]" xfId="5" builtinId="7"/>
    <cellStyle name="Гиперссылка" xfId="6" builtinId="8"/>
    <cellStyle name="Открывавшаяся гиперссылка" xfId="7" builtinId="9"/>
    <cellStyle name="Примечание" xfId="8" builtinId="10"/>
    <cellStyle name="Предупреждающий текст" xfId="9" builtinId="11"/>
    <cellStyle name="Заголовок" xfId="10" builtinId="15"/>
    <cellStyle name="Пояснительный текст" xfId="11" builtinId="53"/>
    <cellStyle name="Заголовок 1" xfId="12" builtinId="16"/>
    <cellStyle name="Заголовок 2" xfId="13" builtinId="17"/>
    <cellStyle name="Заголовок 3" xfId="14" builtinId="18"/>
    <cellStyle name="Заголовок 4" xfId="15" builtinId="19"/>
    <cellStyle name="Ввод" xfId="16" builtinId="20"/>
    <cellStyle name="Вывод" xfId="17" builtinId="21"/>
    <cellStyle name="Вычисление" xfId="18" builtinId="22"/>
    <cellStyle name="Проверить ячейку" xfId="19" builtinId="23"/>
    <cellStyle name="Связанная ячейка" xfId="20" builtinId="24"/>
    <cellStyle name="Итого" xfId="21" builtinId="25"/>
    <cellStyle name="Хороший" xfId="22" builtinId="26"/>
    <cellStyle name="Плохой" xfId="23" builtinId="27"/>
    <cellStyle name="Нейтральный" xfId="24" builtinId="28"/>
    <cellStyle name="Акцент1" xfId="25" builtinId="29"/>
    <cellStyle name="20% — Акцент1" xfId="26" builtinId="30"/>
    <cellStyle name="40% — Акцент1" xfId="27" builtinId="31"/>
    <cellStyle name="60% — Акцент1" xfId="28" builtinId="32"/>
    <cellStyle name="Акцент2" xfId="29" builtinId="33"/>
    <cellStyle name="20% — Акцент2" xfId="30" builtinId="34"/>
    <cellStyle name="40% — Акцент2" xfId="31" builtinId="35"/>
    <cellStyle name="60% — Акцент2" xfId="32" builtinId="36"/>
    <cellStyle name="Акцент3" xfId="33" builtinId="37"/>
    <cellStyle name="20% — Акцент3" xfId="34" builtinId="38"/>
    <cellStyle name="40% — Акцент3" xfId="35" builtinId="39"/>
    <cellStyle name="60% — Акцент3" xfId="36" builtinId="40"/>
    <cellStyle name="Акцент4" xfId="37" builtinId="41"/>
    <cellStyle name="20% — Акцент4" xfId="38" builtinId="42"/>
    <cellStyle name="40% — Акцент4" xfId="39" builtinId="43"/>
    <cellStyle name="60% — Акцент4" xfId="40" builtinId="44"/>
    <cellStyle name="Акцент5" xfId="41" builtinId="45"/>
    <cellStyle name="20% — Акцент5" xfId="42" builtinId="46"/>
    <cellStyle name="40% — Акцент5" xfId="43" builtinId="47"/>
    <cellStyle name="60% — Акцент5" xfId="44" builtinId="48"/>
    <cellStyle name="Акцент6" xfId="45" builtinId="49"/>
    <cellStyle name="20% — Акцент6" xfId="46" builtinId="50"/>
    <cellStyle name="40% — Акцент6" xfId="47" builtinId="51"/>
    <cellStyle name="60% — Акцент6" xfId="48" builtinId="52"/>
    <cellStyle name="normal" xfId="49"/>
    <cellStyle name=" 1" xfId="50"/>
    <cellStyle name=" 1 2" xfId="51"/>
    <cellStyle name=" 1_Stage1" xfId="52"/>
    <cellStyle name="_Model_RAB Мой_PR.PROG.WARM.NOTCOMBI.2012.2.16_v1.4(04.04.11) " xfId="53"/>
    <cellStyle name="_Model_RAB Мой_Книга2_PR.PROG.WARM.NOTCOMBI.2012.2.16_v1.4(04.04.11) " xfId="54"/>
    <cellStyle name="_Model_RAB_MRSK_svod_PR.PROG.WARM.NOTCOMBI.2012.2.16_v1.4(04.04.11) " xfId="55"/>
    <cellStyle name="_Model_RAB_MRSK_svod_Книга2_PR.PROG.WARM.NOTCOMBI.2012.2.16_v1.4(04.04.11) " xfId="56"/>
    <cellStyle name="_МОДЕЛЬ_1 (2)_PR.PROG.WARM.NOTCOMBI.2012.2.16_v1.4(04.04.11) " xfId="57"/>
    <cellStyle name="_МОДЕЛЬ_1 (2)_Книга2_PR.PROG.WARM.NOTCOMBI.2012.2.16_v1.4(04.04.11) " xfId="58"/>
    <cellStyle name="_пр 5 тариф RAB_PR.PROG.WARM.NOTCOMBI.2012.2.16_v1.4(04.04.11) " xfId="59"/>
    <cellStyle name="_пр 5 тариф RAB_Книга2_PR.PROG.WARM.NOTCOMBI.2012.2.16_v1.4(04.04.11) " xfId="60"/>
    <cellStyle name="_Расчет RAB_22072008_PR.PROG.WARM.NOTCOMBI.2012.2.16_v1.4(04.04.11) " xfId="61"/>
    <cellStyle name="_Расчет RAB_22072008_Книга2_PR.PROG.WARM.NOTCOMBI.2012.2.16_v1.4(04.04.11) " xfId="62"/>
    <cellStyle name="_Расчет RAB_Лен и МОЭСК_с 2010 года_14.04.2009_со сглаж_version 3.0_без ФСК_PR.PROG.WARM.NOTCOMBI.2012.2.16_v1.4(04.04.11) " xfId="63"/>
    <cellStyle name="_Расчет RAB_Лен и МОЭСК_с 2010 года_14.04.2009_со сглаж_version 3.0_без ФСК_Книга2_PR.PROG.WARM.NOTCOMBI.2012.2.16_v1.4(04.04.11) " xfId="64"/>
    <cellStyle name="currency1" xfId="65"/>
    <cellStyle name="Currency2" xfId="66"/>
    <cellStyle name="currency3" xfId="67"/>
    <cellStyle name="currency4" xfId="68"/>
    <cellStyle name="Followed Hyperlink" xfId="69"/>
    <cellStyle name="Normal1" xfId="70"/>
    <cellStyle name="Normal2" xfId="71"/>
    <cellStyle name="Percent1" xfId="72"/>
    <cellStyle name="Обычный 10" xfId="73"/>
    <cellStyle name="Обычный 16" xfId="74"/>
    <cellStyle name="Обычный 2" xfId="75"/>
    <cellStyle name="Обычный_BALANCE.WARM.2007YEAR(FACT)" xfId="76"/>
    <cellStyle name="Обычный_PRIL1.ELECTR" xfId="7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2" Type="http://schemas.openxmlformats.org/officeDocument/2006/relationships/styles" Target="styles.xml"/><Relationship Id="rId91" Type="http://schemas.openxmlformats.org/officeDocument/2006/relationships/sharedStrings" Target="sharedStrings.xml"/><Relationship Id="rId90" Type="http://schemas.openxmlformats.org/officeDocument/2006/relationships/theme" Target="theme/theme1.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57175" y="1417320"/>
          <a:ext cx="323850" cy="34290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57175" y="2068830"/>
          <a:ext cx="323850" cy="34290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7667625" y="485775"/>
          <a:ext cx="207645" cy="207645"/>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r:embed="rId3" cstate="print">
          <a:extLst>
            <a:ext uri="{28A0092B-C50C-407E-A947-70E740481C1C}">
              <a14:useLocalDpi xmlns:a14="http://schemas.microsoft.com/office/drawing/2010/main" val="0"/>
            </a:ext>
          </a:extLst>
        </a:blip>
        <a:stretch>
          <a:fillRect/>
        </a:stretch>
      </xdr:blipFill>
      <xdr:spPr>
        <a:xfrm>
          <a:off x="266700" y="3729990"/>
          <a:ext cx="287655" cy="320675"/>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57175" y="6627495"/>
          <a:ext cx="330835" cy="323850"/>
        </a:xfrm>
        <a:prstGeom prst="rect">
          <a:avLst/>
        </a:prstGeom>
        <a:ln w="0">
          <a:noFill/>
          <a:prstDash val="solid"/>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800100" y="752475"/>
          <a:ext cx="207645" cy="207645"/>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r:embed="rId2" cstate="print">
          <a:extLst>
            <a:ext uri="{28A0092B-C50C-407E-A947-70E740481C1C}">
              <a14:useLocalDpi xmlns:a14="http://schemas.microsoft.com/office/drawing/2010/main" val="0"/>
            </a:ext>
          </a:extLst>
        </a:blip>
        <a:stretch>
          <a:fillRect/>
        </a:stretch>
      </xdr:blipFill>
      <xdr:spPr>
        <a:xfrm>
          <a:off x="514350" y="565785"/>
          <a:ext cx="304165"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273050" y="866775"/>
          <a:ext cx="34925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1346835"/>
          <a:ext cx="0" cy="30480"/>
        </a:xfrm>
        <a:prstGeom prst="rect">
          <a:avLst/>
        </a:prstGeom>
        <a:ln w="0">
          <a:noFill/>
          <a:prstDash val="solid"/>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80010"/>
          <a:ext cx="200025" cy="638175"/>
        </a:xfrm>
        <a:prstGeom prst="rect">
          <a:avLst/>
        </a:prstGeom>
        <a:ln w="0">
          <a:noFill/>
          <a:prstDash val="solid"/>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186690"/>
          <a:ext cx="200025" cy="247650"/>
        </a:xfrm>
        <a:prstGeom prst="rect">
          <a:avLst/>
        </a:prstGeom>
        <a:ln w="0">
          <a:noFill/>
          <a:prstDash val="solid"/>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80010"/>
          <a:ext cx="200025" cy="171450"/>
        </a:xfrm>
        <a:prstGeom prst="rect">
          <a:avLst/>
        </a:prstGeom>
        <a:ln w="0">
          <a:noFill/>
          <a:prstDash val="solid"/>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0" y="80010"/>
          <a:ext cx="200025" cy="24765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hyperlink" Target="https://portal.eias.ru/Portal/DownloadPage.aspx?type=12&amp;guid=7b0e7eff-848a-4a61-b876-f27850f24f97" TargetMode="External"/><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1"/>
  <sheetViews>
    <sheetView showGridLines="0" showRowColHeaders="0" workbookViewId="0">
      <selection activeCell="A1" sqref="A1"/>
    </sheetView>
  </sheetViews>
  <sheetFormatPr defaultColWidth="11" defaultRowHeight="12.75" customHeight="1"/>
  <cols>
    <col min="1" max="1" width="5.41904761904762" style="13" customWidth="1"/>
    <col min="2" max="2" width="9.14285714285714" style="13" customWidth="1"/>
    <col min="3" max="3" width="16.4190476190476" style="13" customWidth="1"/>
    <col min="4" max="25" width="6.28571428571429" style="13" customWidth="1"/>
    <col min="26" max="28" width="11" style="13"/>
  </cols>
  <sheetData>
    <row r="1" ht="15.75" customHeight="1" spans="1:28">
      <c r="A1" s="1361"/>
      <c r="B1" s="1362"/>
      <c r="C1" s="1362"/>
      <c r="D1" s="1362"/>
      <c r="E1" s="1362"/>
      <c r="F1" s="1362"/>
      <c r="G1" s="1362"/>
      <c r="H1" s="1362"/>
      <c r="I1" s="1362"/>
      <c r="J1" s="1362"/>
      <c r="K1" s="1362"/>
      <c r="L1" s="1362"/>
      <c r="M1" s="1362"/>
      <c r="N1" s="1362"/>
      <c r="O1" s="1362"/>
      <c r="P1" s="1362"/>
      <c r="Q1" s="1362"/>
      <c r="R1" s="1362"/>
      <c r="S1" s="1362"/>
      <c r="T1" s="1362"/>
      <c r="U1" s="1362"/>
      <c r="V1" s="1362"/>
      <c r="W1" s="1362"/>
      <c r="X1" s="1362"/>
      <c r="Y1" s="1397"/>
      <c r="Z1" s="1362"/>
      <c r="AA1" s="1398" t="s">
        <v>0</v>
      </c>
      <c r="AB1" s="1362"/>
    </row>
    <row r="2" ht="17.25" customHeight="1" spans="1:28">
      <c r="A2" s="1362"/>
      <c r="B2" s="1363" t="s">
        <v>1</v>
      </c>
      <c r="C2" s="1363"/>
      <c r="D2" s="1363"/>
      <c r="E2" s="1363"/>
      <c r="F2" s="1363"/>
      <c r="G2" s="1363"/>
      <c r="H2" s="1363"/>
      <c r="I2" s="1363"/>
      <c r="J2" s="1363"/>
      <c r="K2" s="1363"/>
      <c r="L2" s="1363"/>
      <c r="M2" s="1363"/>
      <c r="N2" s="1363"/>
      <c r="O2" s="1363"/>
      <c r="P2" s="1363"/>
      <c r="Q2" s="1395"/>
      <c r="R2" s="1395"/>
      <c r="S2" s="1395"/>
      <c r="T2" s="1395"/>
      <c r="U2" s="1395"/>
      <c r="V2" s="1366"/>
      <c r="W2" s="1395"/>
      <c r="X2" s="1395"/>
      <c r="Y2" s="1397"/>
      <c r="Z2" s="1362"/>
      <c r="AA2" s="1398"/>
      <c r="AB2" s="1362"/>
    </row>
    <row r="3" ht="15.75" customHeight="1" spans="1:28">
      <c r="A3" s="1362"/>
      <c r="B3" s="1364" t="s">
        <v>2</v>
      </c>
      <c r="C3" s="1364"/>
      <c r="D3" s="1364"/>
      <c r="E3" s="1364"/>
      <c r="F3" s="1364"/>
      <c r="G3" s="1364"/>
      <c r="H3" s="1364"/>
      <c r="I3" s="1364"/>
      <c r="J3" s="1364"/>
      <c r="K3" s="1364"/>
      <c r="L3" s="1364"/>
      <c r="M3" s="1364"/>
      <c r="N3" s="1364"/>
      <c r="O3" s="1364"/>
      <c r="P3" s="1364"/>
      <c r="Q3" s="1366"/>
      <c r="R3" s="1366"/>
      <c r="S3" s="1395"/>
      <c r="T3" s="1395"/>
      <c r="U3" s="1395"/>
      <c r="V3" s="1366"/>
      <c r="W3" s="1366"/>
      <c r="X3" s="1366"/>
      <c r="Y3" s="1366"/>
      <c r="Z3" s="1362"/>
      <c r="AA3" s="1398"/>
      <c r="AB3" s="1362"/>
    </row>
    <row r="4" ht="17.25" customHeight="1" spans="1:28">
      <c r="A4" s="1362"/>
      <c r="B4" s="1365"/>
      <c r="C4" s="1362"/>
      <c r="D4" s="1366"/>
      <c r="E4" s="1366"/>
      <c r="F4" s="1366"/>
      <c r="G4" s="1366"/>
      <c r="H4" s="1366"/>
      <c r="I4" s="1366"/>
      <c r="J4" s="1366"/>
      <c r="K4" s="1366"/>
      <c r="L4" s="1366"/>
      <c r="M4" s="1366"/>
      <c r="N4" s="1366"/>
      <c r="O4" s="1366"/>
      <c r="P4" s="1366"/>
      <c r="Q4" s="1366"/>
      <c r="R4" s="1366"/>
      <c r="S4" s="1366"/>
      <c r="T4" s="1366"/>
      <c r="U4" s="1366"/>
      <c r="V4" s="1366"/>
      <c r="W4" s="1366"/>
      <c r="X4" s="1366"/>
      <c r="Y4" s="1366"/>
      <c r="Z4" s="1362"/>
      <c r="AA4" s="1398"/>
      <c r="AB4" s="1362"/>
    </row>
    <row r="5" ht="22.5" customHeight="1" spans="1:28">
      <c r="A5" s="783"/>
      <c r="B5" s="1367"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1368"/>
      <c r="D5" s="1368"/>
      <c r="E5" s="1368"/>
      <c r="F5" s="1368"/>
      <c r="G5" s="1368"/>
      <c r="H5" s="1368"/>
      <c r="I5" s="1368"/>
      <c r="J5" s="1368"/>
      <c r="K5" s="1368"/>
      <c r="L5" s="1368"/>
      <c r="M5" s="1368"/>
      <c r="N5" s="1368"/>
      <c r="O5" s="1368"/>
      <c r="P5" s="1368"/>
      <c r="Q5" s="1368"/>
      <c r="R5" s="1368"/>
      <c r="S5" s="1368"/>
      <c r="T5" s="1368"/>
      <c r="U5" s="1368"/>
      <c r="V5" s="1368"/>
      <c r="W5" s="1368"/>
      <c r="X5" s="1368"/>
      <c r="Y5" s="1399"/>
      <c r="Z5" s="783"/>
      <c r="AA5" s="1398"/>
      <c r="AB5" s="783"/>
    </row>
    <row r="6" ht="15" customHeight="1" spans="1:28">
      <c r="A6" s="1369"/>
      <c r="B6" s="1370" t="s">
        <v>3</v>
      </c>
      <c r="C6" s="1371"/>
      <c r="D6" s="1372"/>
      <c r="E6" s="1372"/>
      <c r="F6" s="1372"/>
      <c r="G6" s="1372"/>
      <c r="H6" s="1372"/>
      <c r="I6" s="1372"/>
      <c r="J6" s="1372"/>
      <c r="K6" s="1372"/>
      <c r="L6" s="1372"/>
      <c r="M6" s="1372"/>
      <c r="N6" s="1372"/>
      <c r="O6" s="1372"/>
      <c r="P6" s="1372"/>
      <c r="Q6" s="1372"/>
      <c r="R6" s="1372"/>
      <c r="S6" s="1372"/>
      <c r="T6" s="1372"/>
      <c r="U6" s="1372"/>
      <c r="V6" s="1372"/>
      <c r="W6" s="1372"/>
      <c r="X6" s="1372"/>
      <c r="Y6" s="1400"/>
      <c r="Z6" s="1401"/>
      <c r="AA6" s="1402"/>
      <c r="AB6" s="1402"/>
    </row>
    <row r="7" ht="15" customHeight="1" spans="1:28">
      <c r="A7" s="1369"/>
      <c r="B7" s="1370"/>
      <c r="C7" s="1371"/>
      <c r="D7" s="1372"/>
      <c r="E7" s="1372"/>
      <c r="F7" s="1373"/>
      <c r="G7" s="1373"/>
      <c r="H7" s="1373"/>
      <c r="I7" s="1373"/>
      <c r="J7" s="1373"/>
      <c r="K7" s="1373"/>
      <c r="L7" s="1373"/>
      <c r="M7" s="1373"/>
      <c r="N7" s="1373"/>
      <c r="O7" s="1372"/>
      <c r="P7" s="1373"/>
      <c r="Q7" s="1373"/>
      <c r="R7" s="1373"/>
      <c r="S7" s="1373"/>
      <c r="T7" s="1373"/>
      <c r="U7" s="1373"/>
      <c r="V7" s="1373"/>
      <c r="W7" s="1373"/>
      <c r="X7" s="1373"/>
      <c r="Y7" s="1400"/>
      <c r="Z7" s="1401"/>
      <c r="AA7" s="1402"/>
      <c r="AB7" s="1402"/>
    </row>
    <row r="8" ht="15" customHeight="1" spans="1:28">
      <c r="A8" s="1369"/>
      <c r="B8" s="1370"/>
      <c r="C8" s="1371"/>
      <c r="D8" s="1374"/>
      <c r="E8" s="1375" t="s">
        <v>4</v>
      </c>
      <c r="F8" s="1376" t="s">
        <v>5</v>
      </c>
      <c r="G8" s="1377"/>
      <c r="H8" s="1377"/>
      <c r="I8" s="1377"/>
      <c r="J8" s="1377"/>
      <c r="K8" s="1377"/>
      <c r="L8" s="1377"/>
      <c r="M8" s="1377"/>
      <c r="N8" s="1374"/>
      <c r="O8" s="1392" t="s">
        <v>4</v>
      </c>
      <c r="P8" s="1393" t="s">
        <v>6</v>
      </c>
      <c r="Q8" s="1396"/>
      <c r="R8" s="1396"/>
      <c r="S8" s="1396"/>
      <c r="T8" s="1396"/>
      <c r="U8" s="1396"/>
      <c r="V8" s="1396"/>
      <c r="W8" s="1396"/>
      <c r="X8" s="1396"/>
      <c r="Y8" s="1400"/>
      <c r="Z8" s="1401"/>
      <c r="AA8" s="1402"/>
      <c r="AB8" s="1402"/>
    </row>
    <row r="9" ht="15" customHeight="1" spans="1:28">
      <c r="A9" s="1369"/>
      <c r="B9" s="1370"/>
      <c r="C9" s="1371"/>
      <c r="D9" s="1374"/>
      <c r="E9" s="1378" t="s">
        <v>4</v>
      </c>
      <c r="F9" s="1376" t="s">
        <v>7</v>
      </c>
      <c r="G9" s="1377"/>
      <c r="H9" s="1377"/>
      <c r="I9" s="1377"/>
      <c r="J9" s="1377"/>
      <c r="K9" s="1377"/>
      <c r="L9" s="1377"/>
      <c r="M9" s="1377"/>
      <c r="N9" s="1374"/>
      <c r="O9" s="1394" t="s">
        <v>4</v>
      </c>
      <c r="P9" s="1393" t="s">
        <v>8</v>
      </c>
      <c r="Q9" s="1396"/>
      <c r="R9" s="1396"/>
      <c r="S9" s="1396"/>
      <c r="T9" s="1396"/>
      <c r="U9" s="1396"/>
      <c r="V9" s="1396"/>
      <c r="W9" s="1396"/>
      <c r="X9" s="1396"/>
      <c r="Y9" s="1400"/>
      <c r="Z9" s="1401"/>
      <c r="AA9" s="1402"/>
      <c r="AB9" s="1402"/>
    </row>
    <row r="10" ht="30" customHeight="1" spans="1:28">
      <c r="A10" s="1369"/>
      <c r="B10" s="1370"/>
      <c r="C10" s="1379"/>
      <c r="D10" s="1380"/>
      <c r="E10" s="1381"/>
      <c r="F10" s="1373"/>
      <c r="G10" s="1373"/>
      <c r="H10" s="1373"/>
      <c r="I10" s="1373"/>
      <c r="J10" s="1373"/>
      <c r="K10" s="1373"/>
      <c r="L10" s="1373"/>
      <c r="M10" s="1373"/>
      <c r="N10" s="1373"/>
      <c r="O10" s="1381"/>
      <c r="P10" s="1373"/>
      <c r="Q10" s="1373"/>
      <c r="R10" s="1373"/>
      <c r="S10" s="1373"/>
      <c r="T10" s="1373"/>
      <c r="U10" s="1373"/>
      <c r="V10" s="1373"/>
      <c r="W10" s="1373"/>
      <c r="X10" s="1373"/>
      <c r="Y10" s="1400"/>
      <c r="Z10" s="1401"/>
      <c r="AA10" s="1402"/>
      <c r="AB10" s="1402"/>
    </row>
    <row r="11" ht="19.5" customHeight="1" spans="1:28">
      <c r="A11" s="1369"/>
      <c r="B11" s="1382" t="s">
        <v>9</v>
      </c>
      <c r="C11" s="1383"/>
      <c r="D11" s="1374"/>
      <c r="E11" s="1384"/>
      <c r="F11" s="1384"/>
      <c r="G11" s="1384"/>
      <c r="H11" s="1384"/>
      <c r="I11" s="1384"/>
      <c r="J11" s="1384"/>
      <c r="K11" s="1384"/>
      <c r="L11" s="1384"/>
      <c r="M11" s="1384"/>
      <c r="N11" s="1384"/>
      <c r="O11" s="1384"/>
      <c r="P11" s="1384"/>
      <c r="Q11" s="1384"/>
      <c r="R11" s="1384"/>
      <c r="S11" s="1384"/>
      <c r="T11" s="1384"/>
      <c r="U11" s="1384"/>
      <c r="V11" s="1384"/>
      <c r="W11" s="1384"/>
      <c r="X11" s="1384"/>
      <c r="Y11" s="1400"/>
      <c r="Z11" s="1401"/>
      <c r="AA11" s="1402"/>
      <c r="AB11" s="1402"/>
    </row>
    <row r="12" ht="69" customHeight="1" spans="1:28">
      <c r="A12" s="1369"/>
      <c r="B12" s="1370"/>
      <c r="C12" s="1379"/>
      <c r="D12" s="1385"/>
      <c r="E12" s="1377" t="s">
        <v>10</v>
      </c>
      <c r="F12" s="1377"/>
      <c r="G12" s="1377"/>
      <c r="H12" s="1377"/>
      <c r="I12" s="1377"/>
      <c r="J12" s="1377"/>
      <c r="K12" s="1377"/>
      <c r="L12" s="1377"/>
      <c r="M12" s="1377"/>
      <c r="N12" s="1377"/>
      <c r="O12" s="1377"/>
      <c r="P12" s="1377"/>
      <c r="Q12" s="1377"/>
      <c r="R12" s="1377"/>
      <c r="S12" s="1377"/>
      <c r="T12" s="1377"/>
      <c r="U12" s="1377"/>
      <c r="V12" s="1377"/>
      <c r="W12" s="1377"/>
      <c r="X12" s="1377"/>
      <c r="Y12" s="1400"/>
      <c r="Z12" s="1401"/>
      <c r="AA12" s="1402"/>
      <c r="AB12" s="1402"/>
    </row>
    <row r="13" ht="15" customHeight="1" spans="1:28">
      <c r="A13" s="1369"/>
      <c r="B13" s="1382" t="s">
        <v>11</v>
      </c>
      <c r="C13" s="1383"/>
      <c r="D13" s="1372"/>
      <c r="E13" s="1384"/>
      <c r="F13" s="1384"/>
      <c r="G13" s="1384"/>
      <c r="H13" s="1384"/>
      <c r="I13" s="1384"/>
      <c r="J13" s="1384"/>
      <c r="K13" s="1384"/>
      <c r="L13" s="1384"/>
      <c r="M13" s="1384"/>
      <c r="N13" s="1384"/>
      <c r="O13" s="1384"/>
      <c r="P13" s="1384"/>
      <c r="Q13" s="1384"/>
      <c r="R13" s="1384"/>
      <c r="S13" s="1384"/>
      <c r="T13" s="1384"/>
      <c r="U13" s="1384"/>
      <c r="V13" s="1384"/>
      <c r="W13" s="1384"/>
      <c r="X13" s="1384"/>
      <c r="Y13" s="1400"/>
      <c r="Z13" s="1401"/>
      <c r="AA13" s="1402"/>
      <c r="AB13" s="1402"/>
    </row>
    <row r="14" ht="57" customHeight="1" spans="1:28">
      <c r="A14" s="1369"/>
      <c r="B14" s="1370"/>
      <c r="C14" s="1371"/>
      <c r="D14" s="1374"/>
      <c r="E14" s="1386" t="s">
        <v>12</v>
      </c>
      <c r="F14" s="1386"/>
      <c r="G14" s="1386"/>
      <c r="H14" s="1386"/>
      <c r="I14" s="1386"/>
      <c r="J14" s="1386"/>
      <c r="K14" s="1386"/>
      <c r="L14" s="1386"/>
      <c r="M14" s="1386"/>
      <c r="N14" s="1386"/>
      <c r="O14" s="1386"/>
      <c r="P14" s="1386"/>
      <c r="Q14" s="1386"/>
      <c r="R14" s="1386"/>
      <c r="S14" s="1386"/>
      <c r="T14" s="1386"/>
      <c r="U14" s="1386"/>
      <c r="V14" s="1386"/>
      <c r="W14" s="1386"/>
      <c r="X14" s="1386"/>
      <c r="Y14" s="1400"/>
      <c r="Z14" s="1401"/>
      <c r="AA14" s="1402"/>
      <c r="AB14" s="1402"/>
    </row>
    <row r="15" ht="16.5" customHeight="1" spans="1:28">
      <c r="A15" s="1369"/>
      <c r="B15" s="1387"/>
      <c r="C15" s="1388"/>
      <c r="D15" s="1389"/>
      <c r="E15" s="1390"/>
      <c r="F15" s="1390"/>
      <c r="G15" s="1390"/>
      <c r="H15" s="1390"/>
      <c r="I15" s="1390"/>
      <c r="J15" s="1390"/>
      <c r="K15" s="1390"/>
      <c r="L15" s="1390"/>
      <c r="M15" s="1390"/>
      <c r="N15" s="1390"/>
      <c r="O15" s="1390"/>
      <c r="P15" s="1390"/>
      <c r="Q15" s="1390"/>
      <c r="R15" s="1390"/>
      <c r="S15" s="1390"/>
      <c r="T15" s="1390"/>
      <c r="U15" s="1390"/>
      <c r="V15" s="1390"/>
      <c r="W15" s="1390"/>
      <c r="X15" s="1390"/>
      <c r="Y15" s="1403"/>
      <c r="Z15" s="1401"/>
      <c r="AA15" s="1404"/>
      <c r="AB15" s="1402"/>
    </row>
    <row r="16" ht="95.25" customHeight="1" spans="1:28">
      <c r="A16" s="1362"/>
      <c r="B16" s="1386"/>
      <c r="C16" s="1391"/>
      <c r="D16" s="1391"/>
      <c r="E16" s="1391"/>
      <c r="F16" s="1391"/>
      <c r="G16" s="1391"/>
      <c r="H16" s="1391"/>
      <c r="I16" s="1391"/>
      <c r="J16" s="1391"/>
      <c r="K16" s="1391"/>
      <c r="L16" s="1391"/>
      <c r="M16" s="1391"/>
      <c r="N16" s="1391"/>
      <c r="O16" s="1391"/>
      <c r="P16" s="1391"/>
      <c r="Q16" s="1391"/>
      <c r="R16" s="1391"/>
      <c r="S16" s="1391"/>
      <c r="T16" s="1391"/>
      <c r="U16" s="1391"/>
      <c r="V16" s="1391"/>
      <c r="W16" s="1391"/>
      <c r="X16" s="1391"/>
      <c r="Y16" s="1391"/>
      <c r="Z16" s="1362"/>
      <c r="AA16" s="1398"/>
      <c r="AB16" s="1362"/>
    </row>
    <row r="17" ht="14.25" customHeight="1" spans="1:28">
      <c r="A17" s="1362"/>
      <c r="B17" s="1362"/>
      <c r="C17" s="1362"/>
      <c r="D17" s="1362"/>
      <c r="E17" s="1362"/>
      <c r="F17" s="1362"/>
      <c r="G17" s="1362"/>
      <c r="H17" s="1362"/>
      <c r="I17" s="1362"/>
      <c r="J17" s="1362"/>
      <c r="K17" s="1362"/>
      <c r="L17" s="1362"/>
      <c r="M17" s="1362"/>
      <c r="N17" s="1362"/>
      <c r="O17" s="1362"/>
      <c r="P17" s="1362"/>
      <c r="Q17" s="1362"/>
      <c r="R17" s="1362"/>
      <c r="S17" s="1362"/>
      <c r="T17" s="1362"/>
      <c r="U17" s="1362"/>
      <c r="V17" s="1362"/>
      <c r="W17" s="1362"/>
      <c r="X17" s="1362"/>
      <c r="Y17" s="1397"/>
      <c r="Z17" s="1362"/>
      <c r="AA17" s="1398"/>
      <c r="AB17" s="1362"/>
    </row>
    <row r="18" ht="14.25" customHeight="1" spans="1:28">
      <c r="A18" s="1362"/>
      <c r="B18" s="1362"/>
      <c r="C18" s="1362"/>
      <c r="D18" s="1362"/>
      <c r="E18" s="1362"/>
      <c r="F18" s="1362"/>
      <c r="G18" s="1362"/>
      <c r="H18" s="1362"/>
      <c r="I18" s="1362"/>
      <c r="J18" s="1362"/>
      <c r="K18" s="1362"/>
      <c r="L18" s="1362"/>
      <c r="M18" s="1362"/>
      <c r="N18" s="1362"/>
      <c r="O18" s="1362"/>
      <c r="P18" s="1362"/>
      <c r="Q18" s="1362"/>
      <c r="R18" s="1362"/>
      <c r="S18" s="1362"/>
      <c r="T18" s="1362"/>
      <c r="U18" s="1362"/>
      <c r="V18" s="1362"/>
      <c r="W18" s="1362"/>
      <c r="X18" s="1362"/>
      <c r="Y18" s="1397"/>
      <c r="Z18" s="1362"/>
      <c r="AA18" s="1398"/>
      <c r="AB18" s="1362"/>
    </row>
    <row r="19" ht="14.25" customHeight="1" spans="1:28">
      <c r="A19" s="1362"/>
      <c r="B19" s="1362"/>
      <c r="C19" s="1362"/>
      <c r="D19" s="1362"/>
      <c r="E19" s="1362"/>
      <c r="F19" s="1362"/>
      <c r="G19" s="1362"/>
      <c r="H19" s="1362"/>
      <c r="I19" s="1362"/>
      <c r="J19" s="1362"/>
      <c r="K19" s="1362"/>
      <c r="L19" s="1362"/>
      <c r="M19" s="1362"/>
      <c r="N19" s="1362"/>
      <c r="O19" s="1362"/>
      <c r="P19" s="1362"/>
      <c r="Q19" s="1362"/>
      <c r="R19" s="1362"/>
      <c r="S19" s="1362"/>
      <c r="T19" s="1362"/>
      <c r="U19" s="1362"/>
      <c r="V19" s="1362"/>
      <c r="W19" s="1362"/>
      <c r="X19" s="1362"/>
      <c r="Y19" s="1397"/>
      <c r="Z19" s="1362"/>
      <c r="AA19" s="1398"/>
      <c r="AB19" s="1362"/>
    </row>
    <row r="20" ht="14.25" customHeight="1" spans="1:28">
      <c r="A20" s="1362"/>
      <c r="B20" s="1362"/>
      <c r="C20" s="1362"/>
      <c r="D20" s="1362"/>
      <c r="E20" s="1362"/>
      <c r="F20" s="1362"/>
      <c r="G20" s="1362"/>
      <c r="H20" s="1362"/>
      <c r="I20" s="1362"/>
      <c r="J20" s="1362"/>
      <c r="K20" s="1362"/>
      <c r="L20" s="1362"/>
      <c r="M20" s="1362"/>
      <c r="N20" s="1362"/>
      <c r="O20" s="1362"/>
      <c r="P20" s="1362"/>
      <c r="Q20" s="1362"/>
      <c r="R20" s="1362"/>
      <c r="S20" s="1362"/>
      <c r="T20" s="1362"/>
      <c r="U20" s="1362"/>
      <c r="V20" s="1362"/>
      <c r="W20" s="1362"/>
      <c r="X20" s="1362"/>
      <c r="Y20" s="1397"/>
      <c r="Z20" s="1362"/>
      <c r="AA20" s="1398"/>
      <c r="AB20" s="1362"/>
    </row>
    <row r="21" ht="14.25" customHeight="1" spans="1:28">
      <c r="A21" s="1362"/>
      <c r="B21" s="1362"/>
      <c r="C21" s="1362"/>
      <c r="D21" s="1362"/>
      <c r="E21" s="1362"/>
      <c r="F21" s="1362"/>
      <c r="G21" s="1362"/>
      <c r="H21" s="1362"/>
      <c r="I21" s="1362"/>
      <c r="J21" s="1362"/>
      <c r="K21" s="1362"/>
      <c r="L21" s="1362"/>
      <c r="M21" s="1362"/>
      <c r="N21" s="1362"/>
      <c r="O21" s="1362"/>
      <c r="P21" s="1362"/>
      <c r="Q21" s="1362"/>
      <c r="R21" s="1362"/>
      <c r="S21" s="1362"/>
      <c r="T21" s="1362"/>
      <c r="U21" s="1362"/>
      <c r="V21" s="1362"/>
      <c r="W21" s="1362"/>
      <c r="X21" s="1362"/>
      <c r="Y21" s="1397"/>
      <c r="Z21" s="1362"/>
      <c r="AA21" s="1398"/>
      <c r="AB21" s="1362"/>
    </row>
  </sheetData>
  <sheetProtection formatColumns="0" formatRows="0" insertRows="0" deleteColumns="0" deleteRows="0" sort="0" autoFilter="0"/>
  <mergeCells count="13">
    <mergeCell ref="B2:P2"/>
    <mergeCell ref="B3:P3"/>
    <mergeCell ref="B5:Y5"/>
    <mergeCell ref="F8:M8"/>
    <mergeCell ref="P8:X8"/>
    <mergeCell ref="F9:M9"/>
    <mergeCell ref="P9:X9"/>
    <mergeCell ref="E12:X12"/>
    <mergeCell ref="E14:X14"/>
    <mergeCell ref="B16:Y16"/>
    <mergeCell ref="B11:C12"/>
    <mergeCell ref="B13:C15"/>
    <mergeCell ref="B6:C10"/>
  </mergeCells>
  <pageMargins left="0.7" right="0.7" top="0.75" bottom="0.75" header="0.3" footer="0.3"/>
  <pageSetup paperSize="1"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W19"/>
  <sheetViews>
    <sheetView showGridLines="0" zoomScale="90" zoomScaleNormal="90" workbookViewId="0">
      <pane xSplit="6" ySplit="11" topLeftCell="G12"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572" hidden="1" customWidth="1"/>
    <col min="2" max="3" width="9.14285714285714" style="42" hidden="1" customWidth="1"/>
    <col min="4" max="4" width="3" style="216" customWidth="1"/>
    <col min="5" max="5" width="6" style="42" customWidth="1"/>
    <col min="6" max="6" width="1.71428571428571" style="42" hidden="1" customWidth="1"/>
    <col min="7" max="8" width="30" style="42" customWidth="1"/>
    <col min="9" max="9" width="8" style="42" customWidth="1"/>
    <col min="10" max="10" width="12.1428571428571" style="42" customWidth="1"/>
    <col min="11" max="11" width="46" style="42" customWidth="1"/>
    <col min="12" max="12" width="100" style="42" customWidth="1"/>
    <col min="13" max="13" width="7" style="205" customWidth="1"/>
    <col min="14" max="22" width="10" style="42" customWidth="1"/>
    <col min="23" max="23" width="10.5714285714286" style="42" hidden="1"/>
  </cols>
  <sheetData>
    <row r="1" s="43" customFormat="1" ht="5.25" hidden="1" customHeight="1" spans="4:23">
      <c r="D1" s="92"/>
      <c r="G1" s="43" t="s">
        <v>84</v>
      </c>
      <c r="H1" s="43" t="s">
        <v>85</v>
      </c>
      <c r="I1" s="43" t="s">
        <v>86</v>
      </c>
      <c r="P1" s="43" t="s">
        <v>84</v>
      </c>
      <c r="Q1" s="43" t="s">
        <v>85</v>
      </c>
      <c r="R1" s="43" t="s">
        <v>86</v>
      </c>
      <c r="W1" s="43" t="s">
        <v>14</v>
      </c>
    </row>
    <row r="2" s="43" customFormat="1" ht="5.25" hidden="1" customHeight="1" spans="4:23">
      <c r="D2" s="92"/>
      <c r="W2" s="43">
        <v>0</v>
      </c>
    </row>
    <row r="3" s="207" customFormat="1" ht="5.25" customHeight="1" spans="1:23">
      <c r="A3" s="1182"/>
      <c r="D3" s="1183"/>
      <c r="E3" s="1184"/>
      <c r="F3" s="1184"/>
      <c r="G3" s="1184"/>
      <c r="H3" s="1184"/>
      <c r="I3" s="1195"/>
      <c r="J3" s="1196"/>
      <c r="K3" s="1196"/>
      <c r="L3" s="1196"/>
      <c r="W3" s="207">
        <v>5</v>
      </c>
    </row>
    <row r="4" ht="23.25" customHeight="1" spans="4:23">
      <c r="D4" s="210"/>
      <c r="E4" s="654" t="s">
        <v>393</v>
      </c>
      <c r="F4" s="654"/>
      <c r="G4" s="655"/>
      <c r="H4" s="655"/>
      <c r="I4" s="656"/>
      <c r="J4" s="1197"/>
      <c r="K4" s="1198"/>
      <c r="L4" s="1198"/>
      <c r="W4" s="42">
        <v>22</v>
      </c>
    </row>
    <row r="5" s="42" customFormat="1" ht="18" customHeight="1" spans="1:23">
      <c r="A5" s="572"/>
      <c r="D5" s="210"/>
      <c r="E5" s="770" t="str">
        <f>IF(org=0,"Не определено",org)</f>
        <v>АО "ОЭЗ ППТ "Алабуга"</v>
      </c>
      <c r="F5" s="770"/>
      <c r="G5" s="621"/>
      <c r="H5" s="621"/>
      <c r="I5" s="771"/>
      <c r="J5" s="1197"/>
      <c r="K5" s="1198"/>
      <c r="L5" s="1198"/>
      <c r="M5" s="205"/>
      <c r="W5" s="42">
        <v>17</v>
      </c>
    </row>
    <row r="6" s="207" customFormat="1" ht="11.55" customHeight="1" spans="1:23">
      <c r="A6" s="1182"/>
      <c r="D6" s="1183"/>
      <c r="E6" s="1184"/>
      <c r="F6" s="1184"/>
      <c r="G6" s="1185"/>
      <c r="H6" s="1185"/>
      <c r="I6" s="1199"/>
      <c r="J6" s="1199"/>
      <c r="K6" s="574"/>
      <c r="L6" s="1199"/>
      <c r="W6" s="207">
        <v>11</v>
      </c>
    </row>
    <row r="7" ht="14.7" customHeight="1" spans="4:23">
      <c r="D7" s="210"/>
      <c r="E7" s="662" t="s">
        <v>305</v>
      </c>
      <c r="F7" s="662"/>
      <c r="G7" s="65"/>
      <c r="H7" s="65"/>
      <c r="I7" s="65"/>
      <c r="J7" s="65"/>
      <c r="K7" s="65"/>
      <c r="L7" s="130" t="s">
        <v>306</v>
      </c>
      <c r="W7" s="42">
        <v>14</v>
      </c>
    </row>
    <row r="8" ht="48.3" customHeight="1" spans="4:23">
      <c r="D8" s="210"/>
      <c r="E8" s="65" t="s">
        <v>89</v>
      </c>
      <c r="F8" s="65"/>
      <c r="G8" s="63" t="s">
        <v>87</v>
      </c>
      <c r="H8" s="63" t="s">
        <v>88</v>
      </c>
      <c r="I8" s="130" t="s">
        <v>86</v>
      </c>
      <c r="J8" s="130" t="s">
        <v>394</v>
      </c>
      <c r="K8" s="130" t="s">
        <v>395</v>
      </c>
      <c r="L8" s="130"/>
      <c r="W8" s="42">
        <v>46</v>
      </c>
    </row>
    <row r="9" ht="12" hidden="1" customHeight="1" spans="4:23">
      <c r="D9" s="1186"/>
      <c r="E9" s="1187"/>
      <c r="F9" s="1187"/>
      <c r="G9" s="1187"/>
      <c r="H9" s="1187"/>
      <c r="I9" s="1187"/>
      <c r="J9" s="1187"/>
      <c r="K9" s="1187"/>
      <c r="L9" s="1187"/>
      <c r="M9" s="42"/>
      <c r="W9" s="42">
        <v>0</v>
      </c>
    </row>
    <row r="10" hidden="1" customHeight="1" spans="1:23">
      <c r="A10" s="42"/>
      <c r="D10" s="210"/>
      <c r="E10" s="63">
        <v>0</v>
      </c>
      <c r="F10" s="63"/>
      <c r="G10" s="103"/>
      <c r="H10" s="103"/>
      <c r="I10" s="103"/>
      <c r="J10" s="103"/>
      <c r="K10" s="103"/>
      <c r="L10" s="1200" t="s">
        <v>396</v>
      </c>
      <c r="W10" s="42">
        <v>0</v>
      </c>
    </row>
    <row r="11" ht="15" hidden="1" customHeight="1" spans="1:23">
      <c r="A11" s="85"/>
      <c r="B11" s="80"/>
      <c r="C11" s="80"/>
      <c r="D11" s="1188"/>
      <c r="E11" s="1189"/>
      <c r="F11" s="1189"/>
      <c r="G11" s="1189"/>
      <c r="H11" s="1189"/>
      <c r="I11" s="106"/>
      <c r="J11" s="1201"/>
      <c r="K11" s="1202"/>
      <c r="L11" s="1203"/>
      <c r="M11" s="43"/>
      <c r="N11" s="43"/>
      <c r="O11" s="43"/>
      <c r="P11" s="282"/>
      <c r="Q11" s="282"/>
      <c r="R11" s="291"/>
      <c r="S11" s="43"/>
      <c r="T11" s="43"/>
      <c r="U11" s="43"/>
      <c r="V11" s="43"/>
      <c r="W11" s="42">
        <v>0</v>
      </c>
    </row>
    <row r="12" s="207" customFormat="1" ht="15" customHeight="1" spans="1:23">
      <c r="A12" s="85"/>
      <c r="B12" s="80"/>
      <c r="C12" s="80"/>
      <c r="D12" s="255"/>
      <c r="E12" s="65">
        <v>1</v>
      </c>
      <c r="F12" s="1190">
        <v>23</v>
      </c>
      <c r="G12" s="596"/>
      <c r="H12" s="222"/>
      <c r="I12" s="267"/>
      <c r="J12" s="281" t="s">
        <v>62</v>
      </c>
      <c r="K12" s="575" t="s">
        <v>28</v>
      </c>
      <c r="L12" s="1203"/>
      <c r="M12" s="43"/>
      <c r="N12" s="43"/>
      <c r="O12" s="43"/>
      <c r="P12" s="282" t="s">
        <v>397</v>
      </c>
      <c r="Q12" s="282" t="s">
        <v>398</v>
      </c>
      <c r="R12" s="291" t="s">
        <v>399</v>
      </c>
      <c r="S12" s="43" t="s">
        <v>400</v>
      </c>
      <c r="T12" s="43"/>
      <c r="U12" s="43"/>
      <c r="V12" s="43"/>
      <c r="W12" s="207">
        <v>14</v>
      </c>
    </row>
    <row r="13" ht="15.75" customHeight="1" spans="1:23">
      <c r="A13" s="85"/>
      <c r="D13" s="210"/>
      <c r="E13" s="568"/>
      <c r="F13" s="1191"/>
      <c r="G13" s="331" t="s">
        <v>104</v>
      </c>
      <c r="H13" s="1192"/>
      <c r="I13" s="1192"/>
      <c r="J13" s="1192"/>
      <c r="K13" s="1204"/>
      <c r="L13" s="1205"/>
      <c r="M13" s="42"/>
      <c r="W13" s="42">
        <v>15</v>
      </c>
    </row>
    <row r="14" ht="11.55" customHeight="1" spans="1:23">
      <c r="A14" s="1182"/>
      <c r="B14" s="207"/>
      <c r="C14" s="207"/>
      <c r="D14" s="1193"/>
      <c r="E14" s="207"/>
      <c r="F14" s="207"/>
      <c r="G14" s="207"/>
      <c r="H14" s="207"/>
      <c r="I14" s="207"/>
      <c r="J14" s="207"/>
      <c r="K14" s="207"/>
      <c r="L14" s="207"/>
      <c r="M14" s="207"/>
      <c r="N14" s="207"/>
      <c r="O14" s="207"/>
      <c r="P14" s="207"/>
      <c r="Q14" s="207"/>
      <c r="R14" s="207"/>
      <c r="S14" s="207"/>
      <c r="T14" s="207"/>
      <c r="U14" s="207"/>
      <c r="V14" s="207"/>
      <c r="W14" s="42">
        <v>11</v>
      </c>
    </row>
    <row r="15" ht="14.7" customHeight="1" spans="4:23">
      <c r="D15" s="1194"/>
      <c r="E15" s="781"/>
      <c r="F15" s="781"/>
      <c r="G15" s="92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1194"/>
      <c r="I15" s="1194"/>
      <c r="J15" s="1194"/>
      <c r="K15" s="1194"/>
      <c r="L15" s="1194"/>
      <c r="W15" s="42">
        <v>14</v>
      </c>
    </row>
    <row r="16" ht="14.7" customHeight="1" spans="23:23">
      <c r="W16" s="42">
        <v>14</v>
      </c>
    </row>
    <row r="17" ht="14.7" customHeight="1" spans="23:23">
      <c r="W17" s="42">
        <v>14</v>
      </c>
    </row>
    <row r="18" ht="14.7" customHeight="1" spans="23:23">
      <c r="W18" s="42">
        <v>14</v>
      </c>
    </row>
    <row r="19" ht="22.5" hidden="1" customHeight="1" spans="1:23">
      <c r="A19" s="572" t="s">
        <v>83</v>
      </c>
      <c r="B19" s="42">
        <v>0</v>
      </c>
      <c r="C19" s="42">
        <v>0</v>
      </c>
      <c r="D19" s="216">
        <v>3</v>
      </c>
      <c r="E19" s="42">
        <v>6</v>
      </c>
      <c r="F19" s="42">
        <v>0</v>
      </c>
      <c r="G19" s="42">
        <v>30</v>
      </c>
      <c r="H19" s="42">
        <v>30</v>
      </c>
      <c r="I19" s="42">
        <v>8</v>
      </c>
      <c r="J19" s="42">
        <v>12</v>
      </c>
      <c r="K19" s="42">
        <v>46</v>
      </c>
      <c r="L19" s="42">
        <v>100</v>
      </c>
      <c r="M19" s="205">
        <v>7</v>
      </c>
      <c r="N19" s="42">
        <v>10</v>
      </c>
      <c r="O19" s="42">
        <v>10</v>
      </c>
      <c r="P19" s="42">
        <v>10</v>
      </c>
      <c r="Q19" s="42">
        <v>10</v>
      </c>
      <c r="R19" s="42">
        <v>10</v>
      </c>
      <c r="S19" s="42">
        <v>10</v>
      </c>
      <c r="T19" s="42">
        <v>10</v>
      </c>
      <c r="U19" s="42">
        <v>10</v>
      </c>
      <c r="V19" s="42">
        <v>10</v>
      </c>
      <c r="W19" s="42">
        <v>23</v>
      </c>
    </row>
  </sheetData>
  <sheetProtection formatColumns="0" formatRows="0" insertRows="0" deleteColumns="0" deleteRows="0" sort="0" autoFilter="0"/>
  <mergeCells count="6">
    <mergeCell ref="E4:I4"/>
    <mergeCell ref="E5:I5"/>
    <mergeCell ref="E7:K7"/>
    <mergeCell ref="A11:A13"/>
    <mergeCell ref="L7:L8"/>
    <mergeCell ref="L10:L13"/>
  </mergeCells>
  <dataValidations count="3">
    <dataValidation type="decimal" operator="between"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t="47.25" hidden="1" customHeight="1" spans="1:45">
      <c r="A6" s="45"/>
      <c r="B6" s="45"/>
      <c r="C6" s="45"/>
      <c r="D6" s="45"/>
      <c r="E6" s="1039"/>
      <c r="F6" s="1039"/>
      <c r="G6" s="1039"/>
      <c r="H6" s="1039"/>
      <c r="I6" s="228" t="e">
        <f>S5&amp;".1"</f>
        <v>#N/A</v>
      </c>
      <c r="J6" s="45"/>
      <c r="K6" s="45"/>
      <c r="L6" s="1040" t="s">
        <v>408</v>
      </c>
      <c r="M6" s="37"/>
      <c r="P6" s="92">
        <v>1</v>
      </c>
      <c r="Q6" s="92"/>
      <c r="R6" s="93"/>
      <c r="S6" s="64" t="e">
        <f>$I6</f>
        <v>#N/A</v>
      </c>
      <c r="T6" s="94" t="s">
        <v>409</v>
      </c>
      <c r="U6" s="83"/>
      <c r="V6" s="98"/>
      <c r="W6" s="99"/>
      <c r="X6" s="99"/>
      <c r="Y6" s="99"/>
      <c r="Z6" s="99"/>
      <c r="AA6" s="99"/>
      <c r="AB6" s="99"/>
      <c r="AC6" s="136"/>
      <c r="AD6" s="98"/>
      <c r="AE6" s="99"/>
      <c r="AF6" s="99"/>
      <c r="AG6" s="99"/>
      <c r="AH6" s="99"/>
      <c r="AI6" s="99"/>
      <c r="AJ6" s="99"/>
      <c r="AK6" s="99"/>
      <c r="AL6" s="136"/>
      <c r="AM6" s="135" t="s">
        <v>410</v>
      </c>
      <c r="AO6" s="150"/>
      <c r="AP6" s="150" t="str">
        <f t="shared" si="0"/>
        <v>Схема подключения теплопотребляющей установки к коллектору источника тепловой энергии</v>
      </c>
      <c r="AQ6" s="150"/>
      <c r="AR6" s="150"/>
      <c r="AS6" s="42">
        <v>0</v>
      </c>
    </row>
    <row r="7" ht="21" hidden="1" customHeight="1" spans="1:45">
      <c r="A7" s="45"/>
      <c r="B7" s="45"/>
      <c r="C7" s="45"/>
      <c r="D7" s="45"/>
      <c r="E7" s="1039"/>
      <c r="F7" s="1039"/>
      <c r="G7" s="1039"/>
      <c r="H7" s="1039"/>
      <c r="I7" s="1044"/>
      <c r="J7" s="228" t="e">
        <f>I6&amp;".1"</f>
        <v>#N/A</v>
      </c>
      <c r="K7" s="45"/>
      <c r="L7" s="1040" t="s">
        <v>411</v>
      </c>
      <c r="M7" s="37"/>
      <c r="N7" s="37"/>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5"/>
      <c r="B8" s="45"/>
      <c r="C8" s="45"/>
      <c r="D8" s="45"/>
      <c r="E8" s="1039"/>
      <c r="F8" s="1039"/>
      <c r="G8" s="1039"/>
      <c r="H8" s="1039"/>
      <c r="I8" s="1044"/>
      <c r="J8" s="1044"/>
      <c r="K8" s="228" t="e">
        <f>J7&amp;".1"</f>
        <v>#N/A</v>
      </c>
      <c r="L8" s="1040" t="s">
        <v>414</v>
      </c>
      <c r="M8" s="37"/>
      <c r="N8" s="37"/>
      <c r="O8" s="37"/>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5"/>
      <c r="B10" s="45"/>
      <c r="C10" s="45"/>
      <c r="D10" s="45"/>
      <c r="E10" s="1039"/>
      <c r="F10" s="1039"/>
      <c r="G10" s="1039"/>
      <c r="H10" s="1039"/>
      <c r="I10" s="1044"/>
      <c r="J10" s="228"/>
      <c r="K10" s="45"/>
      <c r="L10" s="1040"/>
      <c r="M10" s="37"/>
      <c r="N10" s="37"/>
      <c r="P10" s="92"/>
      <c r="Q10" s="92"/>
      <c r="R10" s="93"/>
      <c r="S10" s="104"/>
      <c r="T10" s="105"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5"/>
      <c r="B11" s="45"/>
      <c r="C11" s="45"/>
      <c r="D11" s="45"/>
      <c r="E11" s="1039"/>
      <c r="F11" s="1039"/>
      <c r="G11" s="1039"/>
      <c r="H11" s="1039"/>
      <c r="I11" s="228"/>
      <c r="J11" s="45"/>
      <c r="K11" s="45"/>
      <c r="L11" s="1040"/>
      <c r="M11" s="37"/>
      <c r="P11" s="92"/>
      <c r="Q11" s="92"/>
      <c r="R11" s="93"/>
      <c r="S11" s="104"/>
      <c r="T11" s="107"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5"/>
      <c r="B12" s="45"/>
      <c r="C12" s="45"/>
      <c r="D12" s="45"/>
      <c r="E12" s="1039"/>
      <c r="F12" s="1039"/>
      <c r="G12" s="1039"/>
      <c r="H12" s="1038"/>
      <c r="I12" s="45"/>
      <c r="J12" s="45"/>
      <c r="K12" s="45"/>
      <c r="L12" s="1040"/>
      <c r="M12" s="46"/>
      <c r="N12" s="46"/>
      <c r="O12" s="37"/>
      <c r="P12" s="80"/>
      <c r="Q12" s="108"/>
      <c r="R12" s="81"/>
      <c r="S12" s="104"/>
      <c r="T12" s="109" t="s">
        <v>418</v>
      </c>
      <c r="U12" s="106"/>
      <c r="V12" s="106"/>
      <c r="W12" s="106"/>
      <c r="X12" s="106"/>
      <c r="Y12" s="106"/>
      <c r="Z12" s="106"/>
      <c r="AA12" s="106"/>
      <c r="AB12" s="106"/>
      <c r="AC12" s="146"/>
      <c r="AD12" s="106"/>
      <c r="AE12" s="106"/>
      <c r="AF12" s="106"/>
      <c r="AG12" s="106"/>
      <c r="AH12" s="106"/>
      <c r="AI12" s="106"/>
      <c r="AJ12" s="106"/>
      <c r="AK12" s="146"/>
      <c r="AL12" s="106"/>
      <c r="AM12" s="147"/>
      <c r="AO12" s="150"/>
      <c r="AP12" s="150" t="str">
        <f t="shared" si="0"/>
        <v>Добавить схему подключения</v>
      </c>
      <c r="AQ12" s="150"/>
      <c r="AR12" s="150"/>
      <c r="AS12" s="42">
        <v>0</v>
      </c>
    </row>
    <row r="13" s="43" customFormat="1" ht="0.75"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587"/>
      <c r="B14" s="587"/>
      <c r="C14" s="587"/>
      <c r="D14" s="587"/>
      <c r="E14" s="1039"/>
      <c r="F14" s="1038"/>
      <c r="G14" s="587"/>
      <c r="H14" s="587"/>
      <c r="I14" s="587"/>
      <c r="J14" s="587"/>
      <c r="K14" s="587"/>
      <c r="L14" s="608"/>
      <c r="M14" s="1045"/>
      <c r="N14" s="1045"/>
      <c r="P14" s="151"/>
      <c r="Q14" s="1068"/>
      <c r="R14" s="151"/>
      <c r="S14" s="1070"/>
      <c r="T14" s="1154" t="s">
        <v>251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587"/>
      <c r="B15" s="587"/>
      <c r="C15" s="587"/>
      <c r="D15" s="587"/>
      <c r="E15" s="1038"/>
      <c r="F15" s="587"/>
      <c r="G15" s="587"/>
      <c r="H15" s="587"/>
      <c r="I15" s="587"/>
      <c r="J15" s="587"/>
      <c r="K15" s="587"/>
      <c r="L15" s="608"/>
      <c r="M15" s="1045"/>
      <c r="N15" s="1045"/>
      <c r="P15" s="151"/>
      <c r="Q15" s="1068"/>
      <c r="R15" s="151"/>
      <c r="S15" s="1070"/>
      <c r="T15" s="1071" t="s">
        <v>252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14.7" customHeight="1" spans="17:45">
      <c r="Q26" s="50"/>
      <c r="R26" s="50"/>
      <c r="S26" s="75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50"/>
      <c r="U26" s="750"/>
      <c r="V26" s="750"/>
      <c r="W26" s="750"/>
      <c r="X26" s="750"/>
      <c r="Y26" s="750"/>
      <c r="Z26" s="750"/>
      <c r="AA26" s="750"/>
      <c r="AB26" s="750"/>
      <c r="AC26" s="750"/>
      <c r="AD26" s="750"/>
      <c r="AE26" s="750"/>
      <c r="AF26" s="750"/>
      <c r="AG26" s="750"/>
      <c r="AH26" s="750"/>
      <c r="AI26" s="750"/>
      <c r="AJ26" s="750"/>
      <c r="AK26" s="120"/>
      <c r="AS26" s="42">
        <v>14</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РТ по тарифам</v>
      </c>
      <c r="W29" s="59"/>
      <c r="X29" s="59"/>
      <c r="Y29" s="59"/>
      <c r="Z29" s="59"/>
      <c r="AA29" s="59"/>
      <c r="AB29" s="59"/>
      <c r="AC29" s="42"/>
      <c r="AD29" s="59" t="str">
        <f>IF(TITLE_NAME_OR_PR_CHANGE="",IF(TITLE_NAME_OR_PR="","",TITLE_NAME_OR_PR),TITLE_NAME_OR_PR_CHANGE)</f>
        <v>Государственный комитет РТ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108-73/тп-2024</v>
      </c>
      <c r="W31" s="59"/>
      <c r="X31" s="59"/>
      <c r="Y31" s="59"/>
      <c r="Z31" s="59"/>
      <c r="AA31" s="59"/>
      <c r="AB31" s="59"/>
      <c r="AC31" s="42"/>
      <c r="AD31" s="59" t="str">
        <f>IF(TITLE_NUMBER_PR_CHANGE="",IF(TITLE_NUMBER_PR="","",TITLE_NUMBER_PR),TITLE_NUMBER_PR_CHANGE)</f>
        <v>108-73/тп-2024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
Республики Татарстан"</v>
      </c>
      <c r="W32" s="59"/>
      <c r="X32" s="59"/>
      <c r="Y32" s="59"/>
      <c r="Z32" s="59"/>
      <c r="AA32" s="59"/>
      <c r="AB32" s="59"/>
      <c r="AC32" s="42"/>
      <c r="AD32" s="59" t="str">
        <f>IF(TITLE_IST_PUB_CHANGE="",IF(TITLE_IST_PUB="","",TITLE_IST_PUB),TITLE_IST_PUB_CHANGE)</f>
        <v>"Официальный портал правовой информации
Республики Татарстан"</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108-73/тп-2024</v>
      </c>
      <c r="W35" s="59"/>
      <c r="X35" s="59"/>
      <c r="Y35" s="59"/>
      <c r="Z35" s="59"/>
      <c r="AA35" s="59"/>
      <c r="AB35" s="59"/>
      <c r="AC35" s="42"/>
      <c r="AD35" s="59" t="str">
        <f>IF(TITLE_NUMBER_PR_CHANGE="",IF(TITLE_NUMBER_PR="","",TITLE_NUMBER_PR),TITLE_NUMBER_PR_CHANGE)</f>
        <v>108-73/тп-2024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t="s">
        <v>437</v>
      </c>
      <c r="X40" s="125" t="s">
        <v>438</v>
      </c>
      <c r="Y40" s="126"/>
      <c r="Z40" s="125" t="s">
        <v>439</v>
      </c>
      <c r="AA40" s="127"/>
      <c r="AB40" s="126"/>
      <c r="AC40" s="128"/>
      <c r="AD40" s="70" t="s">
        <v>436</v>
      </c>
      <c r="AE40" s="1167" t="s">
        <v>437</v>
      </c>
      <c r="AF40" s="125" t="s">
        <v>438</v>
      </c>
      <c r="AG40" s="126"/>
      <c r="AH40" s="125" t="s">
        <v>439</v>
      </c>
      <c r="AI40" s="127"/>
      <c r="AJ40" s="126"/>
      <c r="AK40" s="128"/>
      <c r="AL40" s="129"/>
      <c r="AM40" s="63"/>
      <c r="AS40" s="42">
        <v>34</v>
      </c>
    </row>
    <row r="41" ht="35.7"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4" customHeight="1" spans="1:45">
      <c r="A43" s="45" t="s">
        <v>158</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23</v>
      </c>
    </row>
    <row r="44" ht="24" customHeight="1" spans="1:45">
      <c r="A44" s="45" t="s">
        <v>158</v>
      </c>
      <c r="B44" s="45" t="s">
        <v>159</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23</v>
      </c>
    </row>
    <row r="45" ht="24" customHeight="1" spans="1:45">
      <c r="A45" s="45" t="s">
        <v>158</v>
      </c>
      <c r="B45" s="45" t="s">
        <v>159</v>
      </c>
      <c r="C45" s="45" t="s">
        <v>160</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4" customHeight="1" spans="1:45">
      <c r="A46" s="45" t="s">
        <v>158</v>
      </c>
      <c r="B46" s="45" t="s">
        <v>159</v>
      </c>
      <c r="C46" s="45" t="s">
        <v>160</v>
      </c>
      <c r="D46" s="45" t="s">
        <v>161</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23</v>
      </c>
    </row>
    <row r="47" ht="49.5" customHeight="1" spans="1:45">
      <c r="A47" s="45" t="s">
        <v>158</v>
      </c>
      <c r="B47" s="45" t="s">
        <v>159</v>
      </c>
      <c r="C47" s="45" t="s">
        <v>160</v>
      </c>
      <c r="D47" s="45" t="s">
        <v>161</v>
      </c>
      <c r="E47" s="1039"/>
      <c r="F47" s="1039"/>
      <c r="G47" s="1039"/>
      <c r="H47" s="1039"/>
      <c r="I47" s="228" t="str">
        <f>S46&amp;".1"</f>
        <v>....1</v>
      </c>
      <c r="J47" s="45"/>
      <c r="K47" s="45"/>
      <c r="L47" s="1040" t="s">
        <v>408</v>
      </c>
      <c r="P47" s="92">
        <v>1</v>
      </c>
      <c r="Q47" s="92"/>
      <c r="R47" s="93"/>
      <c r="S47" s="64" t="str">
        <f>$I47</f>
        <v>....1</v>
      </c>
      <c r="T47" s="94" t="s">
        <v>409</v>
      </c>
      <c r="U47" s="83"/>
      <c r="V47" s="98"/>
      <c r="W47" s="99"/>
      <c r="X47" s="99"/>
      <c r="Y47" s="99"/>
      <c r="Z47" s="99"/>
      <c r="AA47" s="99"/>
      <c r="AB47" s="99"/>
      <c r="AC47" s="136"/>
      <c r="AD47" s="98"/>
      <c r="AE47" s="99"/>
      <c r="AF47" s="99"/>
      <c r="AG47" s="99"/>
      <c r="AH47" s="99"/>
      <c r="AI47" s="99"/>
      <c r="AJ47" s="99"/>
      <c r="AK47" s="99"/>
      <c r="AL47" s="136"/>
      <c r="AM47" s="135" t="s">
        <v>410</v>
      </c>
      <c r="AO47" s="150"/>
      <c r="AP47" s="150" t="str">
        <f t="shared" si="1"/>
        <v>Схема подключения теплопотребляющей установки к коллектору источника тепловой энергии</v>
      </c>
      <c r="AQ47" s="150"/>
      <c r="AR47" s="150"/>
      <c r="AS47" s="42">
        <v>47</v>
      </c>
    </row>
    <row r="48" ht="24" customHeight="1" spans="1:45">
      <c r="A48" s="45" t="s">
        <v>158</v>
      </c>
      <c r="B48" s="45" t="s">
        <v>159</v>
      </c>
      <c r="C48" s="45" t="s">
        <v>160</v>
      </c>
      <c r="D48" s="45" t="s">
        <v>161</v>
      </c>
      <c r="E48" s="1039"/>
      <c r="F48" s="1039"/>
      <c r="G48" s="1039"/>
      <c r="H48" s="1039"/>
      <c r="I48" s="1044"/>
      <c r="J48" s="228" t="str">
        <f>I47&amp;".1"</f>
        <v>....1.1</v>
      </c>
      <c r="K48" s="45"/>
      <c r="L48" s="1040" t="s">
        <v>411</v>
      </c>
      <c r="P48" s="92"/>
      <c r="Q48" s="92">
        <v>1</v>
      </c>
      <c r="R48" s="96"/>
      <c r="S48" s="64" t="str">
        <f>$J48</f>
        <v>....1.1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23</v>
      </c>
    </row>
    <row r="49" ht="24" customHeight="1" spans="1:45">
      <c r="A49" s="45" t="s">
        <v>158</v>
      </c>
      <c r="B49" s="45" t="s">
        <v>159</v>
      </c>
      <c r="C49" s="45" t="s">
        <v>160</v>
      </c>
      <c r="D49" s="45" t="s">
        <v>161</v>
      </c>
      <c r="E49" s="1039"/>
      <c r="F49" s="1039"/>
      <c r="G49" s="1039"/>
      <c r="H49" s="1039"/>
      <c r="I49" s="1044"/>
      <c r="J49" s="1044"/>
      <c r="K49" s="228" t="str">
        <f>J48&amp;".1"</f>
        <v>....1.1.1</v>
      </c>
      <c r="L49" s="1040" t="s">
        <v>414</v>
      </c>
      <c r="P49" s="92"/>
      <c r="Q49" s="92"/>
      <c r="R49" s="96">
        <v>1</v>
      </c>
      <c r="S49" s="64" t="str">
        <f>$K49</f>
        <v>....1.1.1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415</v>
      </c>
      <c r="AN49" s="43" t="e">
        <f>STRCHECKDATE(V50:AL50)</f>
        <v>#NAME?</v>
      </c>
      <c r="AO49" s="150"/>
      <c r="AP49" s="150" t="str">
        <f t="shared" si="1"/>
        <v/>
      </c>
      <c r="AQ49" s="150"/>
      <c r="AR49" s="150"/>
      <c r="AS49" s="42">
        <v>23</v>
      </c>
    </row>
    <row r="50" ht="1.05" customHeight="1" spans="1:45">
      <c r="A50" s="45" t="s">
        <v>158</v>
      </c>
      <c r="B50" s="45" t="s">
        <v>159</v>
      </c>
      <c r="C50" s="45" t="s">
        <v>160</v>
      </c>
      <c r="D50" s="45" t="s">
        <v>161</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5" t="s">
        <v>158</v>
      </c>
      <c r="B51" s="45" t="s">
        <v>159</v>
      </c>
      <c r="C51" s="45" t="s">
        <v>160</v>
      </c>
      <c r="D51" s="45" t="s">
        <v>161</v>
      </c>
      <c r="E51" s="1039"/>
      <c r="F51" s="1039"/>
      <c r="G51" s="1039"/>
      <c r="H51" s="1039"/>
      <c r="I51" s="1044"/>
      <c r="J51" s="228"/>
      <c r="K51" s="45"/>
      <c r="L51" s="1040"/>
      <c r="P51" s="92"/>
      <c r="Q51" s="92"/>
      <c r="R51" s="93"/>
      <c r="S51" s="104"/>
      <c r="T51" s="105"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158</v>
      </c>
      <c r="B52" s="45" t="s">
        <v>159</v>
      </c>
      <c r="C52" s="45" t="s">
        <v>160</v>
      </c>
      <c r="D52" s="45" t="s">
        <v>161</v>
      </c>
      <c r="E52" s="1039"/>
      <c r="F52" s="1039"/>
      <c r="G52" s="1039"/>
      <c r="H52" s="1039"/>
      <c r="I52" s="228"/>
      <c r="J52" s="45"/>
      <c r="K52" s="45"/>
      <c r="L52" s="1040"/>
      <c r="P52" s="92"/>
      <c r="Q52" s="92"/>
      <c r="R52" s="93"/>
      <c r="S52" s="104"/>
      <c r="T52" s="107"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t="14.7" customHeight="1" spans="1:45">
      <c r="A53" s="45" t="s">
        <v>158</v>
      </c>
      <c r="B53" s="45" t="s">
        <v>159</v>
      </c>
      <c r="C53" s="45" t="s">
        <v>160</v>
      </c>
      <c r="D53" s="45" t="s">
        <v>161</v>
      </c>
      <c r="E53" s="1039"/>
      <c r="F53" s="1039"/>
      <c r="G53" s="1039"/>
      <c r="H53" s="1038"/>
      <c r="I53" s="45"/>
      <c r="J53" s="45"/>
      <c r="K53" s="45"/>
      <c r="L53" s="1040"/>
      <c r="M53" s="46"/>
      <c r="N53" s="46"/>
      <c r="O53" s="37"/>
      <c r="P53" s="80"/>
      <c r="Q53" s="108"/>
      <c r="R53" s="81"/>
      <c r="S53" s="104"/>
      <c r="T53" s="109" t="s">
        <v>418</v>
      </c>
      <c r="U53" s="106"/>
      <c r="V53" s="106"/>
      <c r="W53" s="106"/>
      <c r="X53" s="106"/>
      <c r="Y53" s="106"/>
      <c r="Z53" s="106"/>
      <c r="AA53" s="106"/>
      <c r="AB53" s="106"/>
      <c r="AC53" s="146"/>
      <c r="AD53" s="106"/>
      <c r="AE53" s="106"/>
      <c r="AF53" s="106"/>
      <c r="AG53" s="106"/>
      <c r="AH53" s="106"/>
      <c r="AI53" s="106"/>
      <c r="AJ53" s="106"/>
      <c r="AK53" s="146"/>
      <c r="AL53" s="106"/>
      <c r="AM53" s="147"/>
      <c r="AO53" s="150"/>
      <c r="AP53" s="150" t="str">
        <f t="shared" si="1"/>
        <v>Добавить схему подключения</v>
      </c>
      <c r="AQ53" s="150"/>
      <c r="AR53" s="150"/>
      <c r="AS53" s="42">
        <v>14</v>
      </c>
    </row>
    <row r="54" s="43" customFormat="1" ht="1.05" customHeight="1" spans="1:45">
      <c r="A54" s="587" t="s">
        <v>158</v>
      </c>
      <c r="B54" s="587" t="s">
        <v>159</v>
      </c>
      <c r="C54" s="587" t="s">
        <v>160</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587" t="s">
        <v>158</v>
      </c>
      <c r="B55" s="587" t="s">
        <v>159</v>
      </c>
      <c r="C55" s="587"/>
      <c r="D55" s="587"/>
      <c r="E55" s="1039"/>
      <c r="F55" s="1038"/>
      <c r="G55" s="587"/>
      <c r="H55" s="587"/>
      <c r="I55" s="587"/>
      <c r="J55" s="587"/>
      <c r="K55" s="587"/>
      <c r="L55" s="608"/>
      <c r="M55" s="1045"/>
      <c r="N55" s="1045"/>
      <c r="P55" s="151"/>
      <c r="Q55" s="1068"/>
      <c r="R55" s="151"/>
      <c r="S55" s="1070"/>
      <c r="T55" s="1071" t="s">
        <v>251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587" t="s">
        <v>158</v>
      </c>
      <c r="B56" s="587"/>
      <c r="C56" s="587"/>
      <c r="D56" s="587"/>
      <c r="E56" s="1038"/>
      <c r="F56" s="587"/>
      <c r="G56" s="587"/>
      <c r="H56" s="587"/>
      <c r="I56" s="587"/>
      <c r="J56" s="587"/>
      <c r="K56" s="587"/>
      <c r="L56" s="608"/>
      <c r="M56" s="1045"/>
      <c r="N56" s="1045"/>
      <c r="P56" s="151"/>
      <c r="Q56" s="1068"/>
      <c r="R56" s="151"/>
      <c r="S56" s="1070"/>
      <c r="T56" s="1071" t="s">
        <v>252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587"/>
      <c r="B57" s="587"/>
      <c r="C57" s="587"/>
      <c r="D57" s="587"/>
      <c r="E57" s="587"/>
      <c r="F57" s="587"/>
      <c r="G57" s="587"/>
      <c r="H57" s="587"/>
      <c r="I57" s="587"/>
      <c r="J57" s="587"/>
      <c r="K57" s="587"/>
      <c r="L57" s="608"/>
      <c r="M57" s="1045"/>
      <c r="N57" s="1045"/>
      <c r="P57" s="151"/>
      <c r="Q57" s="1068"/>
      <c r="R57" s="151"/>
      <c r="S57" s="1070"/>
      <c r="T57" s="1071" t="s">
        <v>253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37"/>
      <c r="N58" s="37"/>
      <c r="O58" s="37"/>
      <c r="P58" s="42"/>
      <c r="Q58" s="42"/>
      <c r="R58" s="42"/>
      <c r="S58" s="42"/>
      <c r="AN58" s="42"/>
      <c r="AO58" s="42"/>
      <c r="AP58" s="42"/>
      <c r="AQ58" s="42"/>
      <c r="AR58" s="42"/>
      <c r="AS58" s="42">
        <v>11</v>
      </c>
    </row>
    <row r="59" ht="28.5"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27</v>
      </c>
    </row>
    <row r="60" ht="67.2"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64</v>
      </c>
    </row>
    <row r="61" ht="14.7" customHeight="1" spans="15:45">
      <c r="O61" s="37"/>
      <c r="AS61" s="42">
        <v>14</v>
      </c>
    </row>
    <row r="62" ht="18.75" customHeight="1" spans="15:45">
      <c r="O62" s="37"/>
      <c r="S62" s="781"/>
      <c r="T62" s="119"/>
      <c r="U62" s="119"/>
      <c r="V62" s="119"/>
      <c r="W62" s="119"/>
      <c r="X62" s="119"/>
      <c r="Y62" s="119"/>
      <c r="Z62" s="119"/>
      <c r="AA62" s="119"/>
      <c r="AB62" s="119"/>
      <c r="AC62" s="119"/>
      <c r="AD62" s="119"/>
      <c r="AE62" s="119"/>
      <c r="AF62" s="119"/>
      <c r="AG62" s="119"/>
      <c r="AH62" s="119"/>
      <c r="AI62" s="119"/>
      <c r="AJ62" s="119"/>
      <c r="AK62" s="119"/>
      <c r="AL62" s="119"/>
      <c r="AM62" s="119"/>
      <c r="AS62" s="42">
        <v>18</v>
      </c>
    </row>
    <row r="63" ht="18.75" customHeight="1" spans="15:45">
      <c r="O63" s="37"/>
      <c r="T63" s="119"/>
      <c r="U63" s="119"/>
      <c r="V63" s="119"/>
      <c r="W63" s="119"/>
      <c r="X63" s="119"/>
      <c r="Y63" s="119"/>
      <c r="Z63" s="119"/>
      <c r="AA63" s="119"/>
      <c r="AB63" s="119"/>
      <c r="AC63" s="119"/>
      <c r="AD63" s="119"/>
      <c r="AE63" s="119"/>
      <c r="AF63" s="119"/>
      <c r="AG63" s="119"/>
      <c r="AH63" s="119"/>
      <c r="AI63" s="119"/>
      <c r="AJ63" s="119"/>
      <c r="AK63" s="119"/>
      <c r="AL63" s="119"/>
      <c r="AM63" s="119"/>
      <c r="AS63" s="42">
        <v>18</v>
      </c>
    </row>
    <row r="64" ht="29.25" customHeight="1" spans="15:45">
      <c r="O64" s="37"/>
      <c r="S64" s="781"/>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22.5" hidden="1" customHeight="1" spans="1:45">
      <c r="A65" s="37" t="s">
        <v>83</v>
      </c>
      <c r="B65" s="37">
        <v>0</v>
      </c>
      <c r="C65" s="37">
        <v>0</v>
      </c>
      <c r="D65" s="37">
        <v>0</v>
      </c>
      <c r="E65" s="37">
        <v>0</v>
      </c>
      <c r="F65" s="37">
        <v>0</v>
      </c>
      <c r="G65" s="37">
        <v>0</v>
      </c>
      <c r="H65" s="37">
        <v>0</v>
      </c>
      <c r="I65" s="37">
        <v>0</v>
      </c>
      <c r="J65" s="37">
        <v>0</v>
      </c>
      <c r="K65" s="37">
        <v>0</v>
      </c>
      <c r="L65" s="47">
        <v>0</v>
      </c>
      <c r="M65" s="38">
        <v>0</v>
      </c>
      <c r="N65" s="38">
        <v>0</v>
      </c>
      <c r="O65" s="38">
        <v>0</v>
      </c>
      <c r="P65" s="39">
        <v>3</v>
      </c>
      <c r="Q65" s="40">
        <v>3</v>
      </c>
      <c r="R65" s="40">
        <v>3</v>
      </c>
      <c r="S65" s="41">
        <v>12</v>
      </c>
      <c r="T65" s="42">
        <v>35</v>
      </c>
      <c r="U65" s="42">
        <v>0</v>
      </c>
      <c r="V65" s="42">
        <v>0</v>
      </c>
      <c r="W65" s="42">
        <v>0</v>
      </c>
      <c r="X65" s="42">
        <v>0</v>
      </c>
      <c r="Y65" s="42">
        <v>0</v>
      </c>
      <c r="Z65" s="42">
        <v>0</v>
      </c>
      <c r="AA65" s="42">
        <v>0</v>
      </c>
      <c r="AB65" s="42">
        <v>0</v>
      </c>
      <c r="AC65" s="42">
        <v>0</v>
      </c>
      <c r="AD65" s="42">
        <v>24</v>
      </c>
      <c r="AE65" s="42">
        <v>0</v>
      </c>
      <c r="AF65" s="42">
        <v>24</v>
      </c>
      <c r="AG65" s="42">
        <v>24</v>
      </c>
      <c r="AH65" s="42">
        <v>11</v>
      </c>
      <c r="AI65" s="42">
        <v>3</v>
      </c>
      <c r="AJ65" s="42">
        <v>11</v>
      </c>
      <c r="AK65" s="42">
        <v>0</v>
      </c>
      <c r="AL65" s="42">
        <v>4</v>
      </c>
      <c r="AM65" s="42">
        <v>115</v>
      </c>
      <c r="AN65" s="43">
        <v>10</v>
      </c>
      <c r="AO65" s="43">
        <v>10</v>
      </c>
      <c r="AP65" s="43">
        <v>10</v>
      </c>
      <c r="AQ65" s="43">
        <v>10</v>
      </c>
      <c r="AR65" s="43">
        <v>10</v>
      </c>
      <c r="AS65" s="42">
        <v>23</v>
      </c>
    </row>
  </sheetData>
  <sheetProtection formatColumns="0" formatRows="0"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t="47.25" hidden="1" customHeight="1" spans="1:45">
      <c r="A6" s="45"/>
      <c r="B6" s="45"/>
      <c r="C6" s="45"/>
      <c r="D6" s="45"/>
      <c r="E6" s="1039"/>
      <c r="F6" s="1039"/>
      <c r="G6" s="1039"/>
      <c r="H6" s="1039"/>
      <c r="I6" s="228" t="e">
        <f>S5&amp;".1"</f>
        <v>#N/A</v>
      </c>
      <c r="J6" s="45"/>
      <c r="K6" s="45"/>
      <c r="L6" s="1040" t="s">
        <v>408</v>
      </c>
      <c r="M6" s="37"/>
      <c r="P6" s="92">
        <v>1</v>
      </c>
      <c r="Q6" s="92"/>
      <c r="R6" s="93"/>
      <c r="S6" s="64" t="e">
        <f>$I6</f>
        <v>#N/A</v>
      </c>
      <c r="T6" s="94" t="s">
        <v>409</v>
      </c>
      <c r="U6" s="83"/>
      <c r="V6" s="98"/>
      <c r="W6" s="99"/>
      <c r="X6" s="99"/>
      <c r="Y6" s="99"/>
      <c r="Z6" s="99"/>
      <c r="AA6" s="99"/>
      <c r="AB6" s="99"/>
      <c r="AC6" s="136"/>
      <c r="AD6" s="98"/>
      <c r="AE6" s="99"/>
      <c r="AF6" s="99"/>
      <c r="AG6" s="99"/>
      <c r="AH6" s="99"/>
      <c r="AI6" s="99"/>
      <c r="AJ6" s="99"/>
      <c r="AK6" s="99"/>
      <c r="AL6" s="136"/>
      <c r="AM6" s="135" t="s">
        <v>410</v>
      </c>
      <c r="AO6" s="150"/>
      <c r="AP6" s="150" t="str">
        <f t="shared" si="0"/>
        <v>Схема подключения теплопотребляющей установки к коллектору источника тепловой энергии</v>
      </c>
      <c r="AQ6" s="150"/>
      <c r="AR6" s="150"/>
      <c r="AS6" s="42">
        <v>0</v>
      </c>
    </row>
    <row r="7" ht="21" hidden="1" customHeight="1" spans="1:45">
      <c r="A7" s="45"/>
      <c r="B7" s="45"/>
      <c r="C7" s="45"/>
      <c r="D7" s="45"/>
      <c r="E7" s="1039"/>
      <c r="F7" s="1039"/>
      <c r="G7" s="1039"/>
      <c r="H7" s="1039"/>
      <c r="I7" s="1044"/>
      <c r="J7" s="228" t="e">
        <f>I6&amp;".1"</f>
        <v>#N/A</v>
      </c>
      <c r="K7" s="45"/>
      <c r="L7" s="1040" t="s">
        <v>411</v>
      </c>
      <c r="M7" s="37"/>
      <c r="N7" s="37"/>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5"/>
      <c r="B8" s="45"/>
      <c r="C8" s="45"/>
      <c r="D8" s="45"/>
      <c r="E8" s="1039"/>
      <c r="F8" s="1039"/>
      <c r="G8" s="1039"/>
      <c r="H8" s="1039"/>
      <c r="I8" s="1044"/>
      <c r="J8" s="1044"/>
      <c r="K8" s="228" t="e">
        <f>J7&amp;".1"</f>
        <v>#N/A</v>
      </c>
      <c r="L8" s="1040" t="s">
        <v>414</v>
      </c>
      <c r="M8" s="37"/>
      <c r="N8" s="37"/>
      <c r="O8" s="37"/>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5"/>
      <c r="B10" s="45"/>
      <c r="C10" s="45"/>
      <c r="D10" s="45"/>
      <c r="E10" s="1039"/>
      <c r="F10" s="1039"/>
      <c r="G10" s="1039"/>
      <c r="H10" s="1039"/>
      <c r="I10" s="1044"/>
      <c r="J10" s="228"/>
      <c r="K10" s="45"/>
      <c r="L10" s="1040"/>
      <c r="M10" s="37"/>
      <c r="N10" s="37"/>
      <c r="P10" s="92"/>
      <c r="Q10" s="92"/>
      <c r="R10" s="93"/>
      <c r="S10" s="104"/>
      <c r="T10" s="105"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5"/>
      <c r="B11" s="45"/>
      <c r="C11" s="45"/>
      <c r="D11" s="45"/>
      <c r="E11" s="1039"/>
      <c r="F11" s="1039"/>
      <c r="G11" s="1039"/>
      <c r="H11" s="1039"/>
      <c r="I11" s="228"/>
      <c r="J11" s="45"/>
      <c r="K11" s="45"/>
      <c r="L11" s="1040"/>
      <c r="M11" s="37"/>
      <c r="P11" s="92"/>
      <c r="Q11" s="92"/>
      <c r="R11" s="93"/>
      <c r="S11" s="104"/>
      <c r="T11" s="107"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5"/>
      <c r="B12" s="45"/>
      <c r="C12" s="45"/>
      <c r="D12" s="45"/>
      <c r="E12" s="1039"/>
      <c r="F12" s="1039"/>
      <c r="G12" s="1039"/>
      <c r="H12" s="1038"/>
      <c r="I12" s="45"/>
      <c r="J12" s="45"/>
      <c r="K12" s="45"/>
      <c r="L12" s="1040"/>
      <c r="M12" s="46"/>
      <c r="N12" s="46"/>
      <c r="O12" s="37"/>
      <c r="P12" s="80"/>
      <c r="Q12" s="108"/>
      <c r="R12" s="81"/>
      <c r="S12" s="104"/>
      <c r="T12" s="109" t="s">
        <v>418</v>
      </c>
      <c r="U12" s="106"/>
      <c r="V12" s="106"/>
      <c r="W12" s="106"/>
      <c r="X12" s="106"/>
      <c r="Y12" s="106"/>
      <c r="Z12" s="106"/>
      <c r="AA12" s="106"/>
      <c r="AB12" s="106"/>
      <c r="AC12" s="146"/>
      <c r="AD12" s="106"/>
      <c r="AE12" s="106"/>
      <c r="AF12" s="106"/>
      <c r="AG12" s="106"/>
      <c r="AH12" s="106"/>
      <c r="AI12" s="106"/>
      <c r="AJ12" s="106"/>
      <c r="AK12" s="146"/>
      <c r="AL12" s="106"/>
      <c r="AM12" s="147"/>
      <c r="AO12" s="150"/>
      <c r="AP12" s="150" t="str">
        <f t="shared" si="0"/>
        <v>Добавить схему подключения</v>
      </c>
      <c r="AQ12" s="150"/>
      <c r="AR12" s="150"/>
      <c r="AS12" s="42">
        <v>0</v>
      </c>
    </row>
    <row r="13" s="43" customFormat="1" ht="0.75"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587"/>
      <c r="B14" s="587"/>
      <c r="C14" s="587"/>
      <c r="D14" s="587"/>
      <c r="E14" s="1039"/>
      <c r="F14" s="1038"/>
      <c r="G14" s="587"/>
      <c r="H14" s="587"/>
      <c r="I14" s="587"/>
      <c r="J14" s="587"/>
      <c r="K14" s="587"/>
      <c r="L14" s="608"/>
      <c r="M14" s="1045"/>
      <c r="N14" s="1045"/>
      <c r="P14" s="151"/>
      <c r="Q14" s="1068"/>
      <c r="R14" s="151"/>
      <c r="S14" s="1070"/>
      <c r="T14" s="1154" t="s">
        <v>251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587"/>
      <c r="B15" s="587"/>
      <c r="C15" s="587"/>
      <c r="D15" s="587"/>
      <c r="E15" s="1038"/>
      <c r="F15" s="587"/>
      <c r="G15" s="587"/>
      <c r="H15" s="587"/>
      <c r="I15" s="587"/>
      <c r="J15" s="587"/>
      <c r="K15" s="587"/>
      <c r="L15" s="608"/>
      <c r="M15" s="1045"/>
      <c r="N15" s="1045"/>
      <c r="P15" s="151"/>
      <c r="Q15" s="1068"/>
      <c r="R15" s="151"/>
      <c r="S15" s="1070"/>
      <c r="T15" s="1071" t="s">
        <v>252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14.7" customHeight="1" spans="17:45">
      <c r="Q26" s="50"/>
      <c r="R26" s="50"/>
      <c r="S26" s="75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50"/>
      <c r="U26" s="750"/>
      <c r="V26" s="750"/>
      <c r="W26" s="750"/>
      <c r="X26" s="750"/>
      <c r="Y26" s="750"/>
      <c r="Z26" s="750"/>
      <c r="AA26" s="750"/>
      <c r="AB26" s="750"/>
      <c r="AC26" s="750"/>
      <c r="AD26" s="750"/>
      <c r="AE26" s="750"/>
      <c r="AF26" s="750"/>
      <c r="AG26" s="750"/>
      <c r="AH26" s="750"/>
      <c r="AI26" s="750"/>
      <c r="AJ26" s="750"/>
      <c r="AK26" s="120"/>
      <c r="AS26" s="42">
        <v>14</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РТ по тарифам</v>
      </c>
      <c r="W29" s="59"/>
      <c r="X29" s="59"/>
      <c r="Y29" s="59"/>
      <c r="Z29" s="59"/>
      <c r="AA29" s="59"/>
      <c r="AB29" s="59"/>
      <c r="AC29" s="42"/>
      <c r="AD29" s="59" t="str">
        <f>IF(TITLE_NAME_OR_PR_CHANGE="",IF(TITLE_NAME_OR_PR="","",TITLE_NAME_OR_PR),TITLE_NAME_OR_PR_CHANGE)</f>
        <v>Государственный комитет РТ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108-73/тп-2024</v>
      </c>
      <c r="W31" s="59"/>
      <c r="X31" s="59"/>
      <c r="Y31" s="59"/>
      <c r="Z31" s="59"/>
      <c r="AA31" s="59"/>
      <c r="AB31" s="59"/>
      <c r="AC31" s="42"/>
      <c r="AD31" s="59" t="str">
        <f>IF(TITLE_NUMBER_PR_CHANGE="",IF(TITLE_NUMBER_PR="","",TITLE_NUMBER_PR),TITLE_NUMBER_PR_CHANGE)</f>
        <v>108-73/тп-2024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
Республики Татарстан"</v>
      </c>
      <c r="W32" s="59"/>
      <c r="X32" s="59"/>
      <c r="Y32" s="59"/>
      <c r="Z32" s="59"/>
      <c r="AA32" s="59"/>
      <c r="AB32" s="59"/>
      <c r="AC32" s="42"/>
      <c r="AD32" s="59" t="str">
        <f>IF(TITLE_IST_PUB_CHANGE="",IF(TITLE_IST_PUB="","",TITLE_IST_PUB),TITLE_IST_PUB_CHANGE)</f>
        <v>"Официальный портал правовой информации
Республики Татарстан"</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108-73/тп-2024</v>
      </c>
      <c r="W35" s="59"/>
      <c r="X35" s="59"/>
      <c r="Y35" s="59"/>
      <c r="Z35" s="59"/>
      <c r="AA35" s="59"/>
      <c r="AB35" s="59"/>
      <c r="AC35" s="42"/>
      <c r="AD35" s="59" t="str">
        <f>IF(TITLE_NUMBER_PR_CHANGE="",IF(TITLE_NUMBER_PR="","",TITLE_NUMBER_PR),TITLE_NUMBER_PR_CHANGE)</f>
        <v>108-73/тп-2024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t="s">
        <v>437</v>
      </c>
      <c r="X40" s="125" t="s">
        <v>438</v>
      </c>
      <c r="Y40" s="126"/>
      <c r="Z40" s="125" t="s">
        <v>451</v>
      </c>
      <c r="AA40" s="127"/>
      <c r="AB40" s="126"/>
      <c r="AC40" s="128"/>
      <c r="AD40" s="70" t="s">
        <v>436</v>
      </c>
      <c r="AE40" s="1167" t="s">
        <v>437</v>
      </c>
      <c r="AF40" s="125" t="s">
        <v>438</v>
      </c>
      <c r="AG40" s="126"/>
      <c r="AH40" s="125" t="s">
        <v>439</v>
      </c>
      <c r="AI40" s="127"/>
      <c r="AJ40" s="126"/>
      <c r="AK40" s="128"/>
      <c r="AL40" s="129"/>
      <c r="AM40" s="63"/>
      <c r="AS40" s="42">
        <v>34</v>
      </c>
    </row>
    <row r="41" ht="35.7"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5" t="s">
        <v>163</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5" t="s">
        <v>163</v>
      </c>
      <c r="B44" s="45" t="s">
        <v>164</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5" t="s">
        <v>163</v>
      </c>
      <c r="B45" s="45" t="s">
        <v>164</v>
      </c>
      <c r="C45" s="45" t="s">
        <v>165</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5" t="s">
        <v>163</v>
      </c>
      <c r="B46" s="45" t="s">
        <v>164</v>
      </c>
      <c r="C46" s="45" t="s">
        <v>165</v>
      </c>
      <c r="D46" s="45" t="s">
        <v>166</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ht="49.5" customHeight="1" spans="1:45">
      <c r="A47" s="45" t="s">
        <v>163</v>
      </c>
      <c r="B47" s="45" t="s">
        <v>164</v>
      </c>
      <c r="C47" s="45" t="s">
        <v>165</v>
      </c>
      <c r="D47" s="45" t="s">
        <v>166</v>
      </c>
      <c r="E47" s="1039"/>
      <c r="F47" s="1039"/>
      <c r="G47" s="1039"/>
      <c r="H47" s="1039"/>
      <c r="I47" s="228" t="str">
        <f>S46&amp;".1"</f>
        <v>....1</v>
      </c>
      <c r="J47" s="45"/>
      <c r="K47" s="45"/>
      <c r="L47" s="1040" t="s">
        <v>408</v>
      </c>
      <c r="P47" s="92">
        <v>1</v>
      </c>
      <c r="Q47" s="92"/>
      <c r="R47" s="93"/>
      <c r="S47" s="64" t="str">
        <f>$I47</f>
        <v>....1</v>
      </c>
      <c r="T47" s="94" t="s">
        <v>409</v>
      </c>
      <c r="U47" s="83"/>
      <c r="V47" s="98"/>
      <c r="W47" s="99"/>
      <c r="X47" s="99"/>
      <c r="Y47" s="99"/>
      <c r="Z47" s="99"/>
      <c r="AA47" s="99"/>
      <c r="AB47" s="99"/>
      <c r="AC47" s="136"/>
      <c r="AD47" s="98"/>
      <c r="AE47" s="99"/>
      <c r="AF47" s="99"/>
      <c r="AG47" s="99"/>
      <c r="AH47" s="99"/>
      <c r="AI47" s="99"/>
      <c r="AJ47" s="99"/>
      <c r="AK47" s="99"/>
      <c r="AL47" s="136"/>
      <c r="AM47" s="135" t="s">
        <v>410</v>
      </c>
      <c r="AO47" s="150"/>
      <c r="AP47" s="150" t="str">
        <f t="shared" si="1"/>
        <v>Схема подключения теплопотребляющей установки к коллектору источника тепловой энергии</v>
      </c>
      <c r="AQ47" s="150"/>
      <c r="AR47" s="150"/>
      <c r="AS47" s="42">
        <v>47</v>
      </c>
    </row>
    <row r="48" ht="22.05" customHeight="1" spans="1:45">
      <c r="A48" s="45" t="s">
        <v>163</v>
      </c>
      <c r="B48" s="45" t="s">
        <v>164</v>
      </c>
      <c r="C48" s="45" t="s">
        <v>165</v>
      </c>
      <c r="D48" s="45" t="s">
        <v>166</v>
      </c>
      <c r="E48" s="1039"/>
      <c r="F48" s="1039"/>
      <c r="G48" s="1039"/>
      <c r="H48" s="1039"/>
      <c r="I48" s="1044"/>
      <c r="J48" s="228" t="str">
        <f>I47&amp;".1"</f>
        <v>....1.1</v>
      </c>
      <c r="K48" s="45"/>
      <c r="L48" s="1040" t="s">
        <v>411</v>
      </c>
      <c r="P48" s="92"/>
      <c r="Q48" s="92">
        <v>1</v>
      </c>
      <c r="R48" s="96"/>
      <c r="S48" s="64" t="str">
        <f>$J48</f>
        <v>....1.1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5" t="s">
        <v>163</v>
      </c>
      <c r="B49" s="45" t="s">
        <v>164</v>
      </c>
      <c r="C49" s="45" t="s">
        <v>165</v>
      </c>
      <c r="D49" s="45" t="s">
        <v>166</v>
      </c>
      <c r="E49" s="1039"/>
      <c r="F49" s="1039"/>
      <c r="G49" s="1039"/>
      <c r="H49" s="1039"/>
      <c r="I49" s="1044"/>
      <c r="J49" s="1044"/>
      <c r="K49" s="228" t="str">
        <f>J48&amp;".1"</f>
        <v>....1.1.1</v>
      </c>
      <c r="L49" s="1040" t="s">
        <v>414</v>
      </c>
      <c r="P49" s="92"/>
      <c r="Q49" s="92"/>
      <c r="R49" s="96">
        <v>1</v>
      </c>
      <c r="S49" s="64" t="str">
        <f>$K49</f>
        <v>....1.1.1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415</v>
      </c>
      <c r="AN49" s="43" t="e">
        <f>STRCHECKDATE(V50:AL50)</f>
        <v>#NAME?</v>
      </c>
      <c r="AO49" s="150"/>
      <c r="AP49" s="150" t="str">
        <f t="shared" si="1"/>
        <v/>
      </c>
      <c r="AQ49" s="150"/>
      <c r="AR49" s="150"/>
      <c r="AS49" s="42">
        <v>21</v>
      </c>
    </row>
    <row r="50" ht="1.05" customHeight="1" spans="1:45">
      <c r="A50" s="45" t="s">
        <v>163</v>
      </c>
      <c r="B50" s="45" t="s">
        <v>164</v>
      </c>
      <c r="C50" s="45" t="s">
        <v>165</v>
      </c>
      <c r="D50" s="45" t="s">
        <v>166</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5" t="s">
        <v>163</v>
      </c>
      <c r="B51" s="45" t="s">
        <v>164</v>
      </c>
      <c r="C51" s="45" t="s">
        <v>165</v>
      </c>
      <c r="D51" s="45" t="s">
        <v>166</v>
      </c>
      <c r="E51" s="1039"/>
      <c r="F51" s="1039"/>
      <c r="G51" s="1039"/>
      <c r="H51" s="1039"/>
      <c r="I51" s="1044"/>
      <c r="J51" s="228"/>
      <c r="K51" s="45"/>
      <c r="L51" s="1040"/>
      <c r="P51" s="92"/>
      <c r="Q51" s="92"/>
      <c r="R51" s="93"/>
      <c r="S51" s="104"/>
      <c r="T51" s="105"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163</v>
      </c>
      <c r="B52" s="45" t="s">
        <v>164</v>
      </c>
      <c r="C52" s="45" t="s">
        <v>165</v>
      </c>
      <c r="D52" s="45" t="s">
        <v>166</v>
      </c>
      <c r="E52" s="1039"/>
      <c r="F52" s="1039"/>
      <c r="G52" s="1039"/>
      <c r="H52" s="1039"/>
      <c r="I52" s="228"/>
      <c r="J52" s="45"/>
      <c r="K52" s="45"/>
      <c r="L52" s="1040"/>
      <c r="P52" s="92"/>
      <c r="Q52" s="92"/>
      <c r="R52" s="93"/>
      <c r="S52" s="104"/>
      <c r="T52" s="107"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t="14.7" customHeight="1" spans="1:45">
      <c r="A53" s="45" t="s">
        <v>163</v>
      </c>
      <c r="B53" s="45" t="s">
        <v>164</v>
      </c>
      <c r="C53" s="45" t="s">
        <v>165</v>
      </c>
      <c r="D53" s="45" t="s">
        <v>166</v>
      </c>
      <c r="E53" s="1039"/>
      <c r="F53" s="1039"/>
      <c r="G53" s="1039"/>
      <c r="H53" s="1038"/>
      <c r="I53" s="45"/>
      <c r="J53" s="45"/>
      <c r="K53" s="45"/>
      <c r="L53" s="1040"/>
      <c r="M53" s="46"/>
      <c r="N53" s="46"/>
      <c r="O53" s="37"/>
      <c r="P53" s="80"/>
      <c r="Q53" s="108"/>
      <c r="R53" s="81"/>
      <c r="S53" s="104"/>
      <c r="T53" s="109" t="s">
        <v>418</v>
      </c>
      <c r="U53" s="106"/>
      <c r="V53" s="106"/>
      <c r="W53" s="106"/>
      <c r="X53" s="106"/>
      <c r="Y53" s="106"/>
      <c r="Z53" s="106"/>
      <c r="AA53" s="106"/>
      <c r="AB53" s="106"/>
      <c r="AC53" s="146"/>
      <c r="AD53" s="106"/>
      <c r="AE53" s="106"/>
      <c r="AF53" s="106"/>
      <c r="AG53" s="106"/>
      <c r="AH53" s="106"/>
      <c r="AI53" s="106"/>
      <c r="AJ53" s="106"/>
      <c r="AK53" s="146"/>
      <c r="AL53" s="106"/>
      <c r="AM53" s="147"/>
      <c r="AO53" s="150"/>
      <c r="AP53" s="150" t="str">
        <f t="shared" si="1"/>
        <v>Добавить схему подключения</v>
      </c>
      <c r="AQ53" s="150"/>
      <c r="AR53" s="150"/>
      <c r="AS53" s="42">
        <v>14</v>
      </c>
    </row>
    <row r="54" s="43" customFormat="1" ht="1.05" customHeight="1" spans="1:45">
      <c r="A54" s="587" t="s">
        <v>163</v>
      </c>
      <c r="B54" s="587" t="s">
        <v>164</v>
      </c>
      <c r="C54" s="587" t="s">
        <v>165</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587" t="s">
        <v>163</v>
      </c>
      <c r="B55" s="587" t="s">
        <v>164</v>
      </c>
      <c r="C55" s="587"/>
      <c r="D55" s="587"/>
      <c r="E55" s="1039"/>
      <c r="F55" s="1038"/>
      <c r="G55" s="587"/>
      <c r="H55" s="587"/>
      <c r="I55" s="587"/>
      <c r="J55" s="587"/>
      <c r="K55" s="587"/>
      <c r="L55" s="608"/>
      <c r="M55" s="1045"/>
      <c r="N55" s="1045"/>
      <c r="P55" s="151"/>
      <c r="Q55" s="1068"/>
      <c r="R55" s="151"/>
      <c r="S55" s="1070"/>
      <c r="T55" s="1071" t="s">
        <v>251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587" t="s">
        <v>163</v>
      </c>
      <c r="B56" s="587"/>
      <c r="C56" s="587"/>
      <c r="D56" s="587"/>
      <c r="E56" s="1038"/>
      <c r="F56" s="587"/>
      <c r="G56" s="587"/>
      <c r="H56" s="587"/>
      <c r="I56" s="587"/>
      <c r="J56" s="587"/>
      <c r="K56" s="587"/>
      <c r="L56" s="608"/>
      <c r="M56" s="1045"/>
      <c r="N56" s="1045"/>
      <c r="P56" s="151"/>
      <c r="Q56" s="1068"/>
      <c r="R56" s="151"/>
      <c r="S56" s="1070"/>
      <c r="T56" s="1071" t="s">
        <v>252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587"/>
      <c r="B57" s="587"/>
      <c r="C57" s="587"/>
      <c r="D57" s="587"/>
      <c r="E57" s="587"/>
      <c r="F57" s="587"/>
      <c r="G57" s="587"/>
      <c r="H57" s="587"/>
      <c r="I57" s="587"/>
      <c r="J57" s="587"/>
      <c r="K57" s="587"/>
      <c r="L57" s="608"/>
      <c r="M57" s="1045"/>
      <c r="N57" s="1045"/>
      <c r="P57" s="151"/>
      <c r="Q57" s="1068"/>
      <c r="R57" s="151"/>
      <c r="S57" s="1070"/>
      <c r="T57" s="1071" t="s">
        <v>253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37"/>
      <c r="N58" s="37"/>
      <c r="O58" s="37"/>
      <c r="P58" s="42"/>
      <c r="Q58" s="42"/>
      <c r="R58" s="42"/>
      <c r="S58" s="42"/>
      <c r="AN58" s="42"/>
      <c r="AO58" s="42"/>
      <c r="AP58" s="42"/>
      <c r="AQ58" s="42"/>
      <c r="AR58" s="42"/>
      <c r="AS58" s="42">
        <v>11</v>
      </c>
    </row>
    <row r="59" ht="28.5"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27</v>
      </c>
    </row>
    <row r="60" ht="65.25"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62</v>
      </c>
    </row>
    <row r="61" ht="14.7" customHeight="1" spans="15:45">
      <c r="O61" s="37"/>
      <c r="AS61" s="42">
        <v>14</v>
      </c>
    </row>
    <row r="62" ht="18.75" customHeight="1" spans="15:45">
      <c r="O62" s="37"/>
      <c r="S62" s="781"/>
      <c r="T62" s="119"/>
      <c r="U62" s="119"/>
      <c r="V62" s="119"/>
      <c r="W62" s="119"/>
      <c r="X62" s="119"/>
      <c r="Y62" s="119"/>
      <c r="Z62" s="119"/>
      <c r="AA62" s="119"/>
      <c r="AB62" s="119"/>
      <c r="AC62" s="119"/>
      <c r="AD62" s="119"/>
      <c r="AE62" s="119"/>
      <c r="AF62" s="119"/>
      <c r="AG62" s="119"/>
      <c r="AH62" s="119"/>
      <c r="AI62" s="119"/>
      <c r="AJ62" s="119"/>
      <c r="AK62" s="119"/>
      <c r="AL62" s="119"/>
      <c r="AM62" s="119"/>
      <c r="AS62" s="42">
        <v>18</v>
      </c>
    </row>
    <row r="63" ht="18.75" customHeight="1" spans="15:45">
      <c r="O63" s="37"/>
      <c r="T63" s="119"/>
      <c r="U63" s="119"/>
      <c r="V63" s="119"/>
      <c r="W63" s="119"/>
      <c r="X63" s="119"/>
      <c r="Y63" s="119"/>
      <c r="Z63" s="119"/>
      <c r="AA63" s="119"/>
      <c r="AB63" s="119"/>
      <c r="AC63" s="119"/>
      <c r="AD63" s="119"/>
      <c r="AE63" s="119"/>
      <c r="AF63" s="119"/>
      <c r="AG63" s="119"/>
      <c r="AH63" s="119"/>
      <c r="AI63" s="119"/>
      <c r="AJ63" s="119"/>
      <c r="AK63" s="119"/>
      <c r="AL63" s="119"/>
      <c r="AM63" s="119"/>
      <c r="AS63" s="42">
        <v>18</v>
      </c>
    </row>
    <row r="64" ht="29.25" customHeight="1" spans="15:45">
      <c r="O64" s="37"/>
      <c r="S64" s="781"/>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22.5" hidden="1" customHeight="1" spans="1:45">
      <c r="A65" s="37" t="s">
        <v>83</v>
      </c>
      <c r="B65" s="37">
        <v>0</v>
      </c>
      <c r="C65" s="37">
        <v>0</v>
      </c>
      <c r="D65" s="37">
        <v>0</v>
      </c>
      <c r="E65" s="37">
        <v>0</v>
      </c>
      <c r="F65" s="37">
        <v>0</v>
      </c>
      <c r="G65" s="37">
        <v>0</v>
      </c>
      <c r="H65" s="37">
        <v>0</v>
      </c>
      <c r="I65" s="37">
        <v>0</v>
      </c>
      <c r="J65" s="37">
        <v>0</v>
      </c>
      <c r="K65" s="37">
        <v>0</v>
      </c>
      <c r="L65" s="47">
        <v>0</v>
      </c>
      <c r="M65" s="38">
        <v>0</v>
      </c>
      <c r="N65" s="38">
        <v>0</v>
      </c>
      <c r="O65" s="38">
        <v>0</v>
      </c>
      <c r="P65" s="39">
        <v>3</v>
      </c>
      <c r="Q65" s="40">
        <v>3</v>
      </c>
      <c r="R65" s="40">
        <v>3</v>
      </c>
      <c r="S65" s="41">
        <v>12</v>
      </c>
      <c r="T65" s="42">
        <v>31</v>
      </c>
      <c r="U65" s="42">
        <v>0</v>
      </c>
      <c r="V65" s="42">
        <v>0</v>
      </c>
      <c r="W65" s="42">
        <v>0</v>
      </c>
      <c r="X65" s="42">
        <v>0</v>
      </c>
      <c r="Y65" s="42">
        <v>0</v>
      </c>
      <c r="Z65" s="42">
        <v>0</v>
      </c>
      <c r="AA65" s="42">
        <v>0</v>
      </c>
      <c r="AB65" s="42">
        <v>0</v>
      </c>
      <c r="AC65" s="42">
        <v>0</v>
      </c>
      <c r="AD65" s="42">
        <v>24</v>
      </c>
      <c r="AE65" s="42">
        <v>0</v>
      </c>
      <c r="AF65" s="42">
        <v>24</v>
      </c>
      <c r="AG65" s="42">
        <v>24</v>
      </c>
      <c r="AH65" s="42">
        <v>11</v>
      </c>
      <c r="AI65" s="42">
        <v>3</v>
      </c>
      <c r="AJ65" s="42">
        <v>11</v>
      </c>
      <c r="AK65" s="42">
        <v>0</v>
      </c>
      <c r="AL65" s="42">
        <v>4</v>
      </c>
      <c r="AM65" s="42">
        <v>115</v>
      </c>
      <c r="AN65" s="43">
        <v>10</v>
      </c>
      <c r="AO65" s="43">
        <v>10</v>
      </c>
      <c r="AP65" s="43">
        <v>10</v>
      </c>
      <c r="AQ65" s="43">
        <v>10</v>
      </c>
      <c r="AR65" s="43">
        <v>10</v>
      </c>
      <c r="AS65" s="42">
        <v>23</v>
      </c>
    </row>
  </sheetData>
  <sheetProtection formatColumns="0" formatRows="0"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42" hidden="1"/>
    <col min="2" max="2" width="11" style="42" hidden="1" customWidth="1"/>
    <col min="3" max="3" width="10.5714285714286" style="42" hidden="1"/>
    <col min="4" max="4" width="11.847619047619" style="42" hidden="1" customWidth="1"/>
    <col min="5" max="5" width="10" style="42" hidden="1" customWidth="1"/>
    <col min="6" max="6" width="8.71428571428571" style="42" hidden="1" customWidth="1"/>
    <col min="7" max="7" width="7.57142857142857" style="42" hidden="1" customWidth="1"/>
    <col min="8" max="8" width="11.4190476190476" style="42" hidden="1" customWidth="1"/>
    <col min="9" max="9" width="12" style="42" hidden="1" customWidth="1"/>
    <col min="10" max="10" width="9.84761904761905" style="42" hidden="1" customWidth="1"/>
    <col min="11" max="11" width="11.4190476190476" style="42" hidden="1" customWidth="1"/>
    <col min="12" max="12" width="19.1428571428571" style="85" hidden="1" customWidth="1"/>
    <col min="13" max="14" width="12.2857142857143" style="39" hidden="1" customWidth="1"/>
    <col min="15" max="15" width="23.4190476190476" style="39" hidden="1" customWidth="1"/>
    <col min="16" max="16" width="3" style="39"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99"/>
      <c r="B2" s="499"/>
      <c r="C2" s="499"/>
      <c r="D2" s="499"/>
      <c r="E2" s="1129">
        <v>1</v>
      </c>
      <c r="F2" s="499"/>
      <c r="G2" s="499"/>
      <c r="H2" s="499"/>
      <c r="I2" s="499"/>
      <c r="J2" s="499"/>
      <c r="K2" s="499"/>
      <c r="L2" s="533"/>
      <c r="M2" s="41"/>
      <c r="N2" s="41"/>
      <c r="O2" s="41"/>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99"/>
      <c r="B3" s="499"/>
      <c r="C3" s="499"/>
      <c r="D3" s="499"/>
      <c r="E3" s="1130"/>
      <c r="F3" s="1129">
        <v>1</v>
      </c>
      <c r="G3" s="499"/>
      <c r="H3" s="499"/>
      <c r="I3" s="499"/>
      <c r="J3" s="499"/>
      <c r="K3" s="499"/>
      <c r="L3" s="533"/>
      <c r="M3" s="41"/>
      <c r="N3" s="41"/>
      <c r="O3" s="41"/>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99"/>
      <c r="B4" s="499"/>
      <c r="C4" s="499"/>
      <c r="D4" s="499"/>
      <c r="E4" s="1130"/>
      <c r="F4" s="1130"/>
      <c r="G4" s="1129">
        <v>1</v>
      </c>
      <c r="H4" s="499"/>
      <c r="I4" s="499"/>
      <c r="J4" s="499"/>
      <c r="K4" s="499"/>
      <c r="L4" s="533"/>
      <c r="M4" s="41"/>
      <c r="N4" s="41"/>
      <c r="O4" s="41"/>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99"/>
      <c r="B5" s="499"/>
      <c r="C5" s="499"/>
      <c r="D5" s="499"/>
      <c r="E5" s="1130"/>
      <c r="F5" s="1130"/>
      <c r="G5" s="1130"/>
      <c r="H5" s="1129">
        <v>1</v>
      </c>
      <c r="I5" s="499"/>
      <c r="J5" s="499"/>
      <c r="K5" s="499"/>
      <c r="L5" s="533"/>
      <c r="M5" s="41"/>
      <c r="N5" s="41"/>
      <c r="O5" s="41"/>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t="47.25" hidden="1" customHeight="1" spans="1:45">
      <c r="A6" s="499"/>
      <c r="B6" s="499"/>
      <c r="C6" s="499"/>
      <c r="D6" s="499"/>
      <c r="E6" s="1130"/>
      <c r="F6" s="1130"/>
      <c r="G6" s="1130"/>
      <c r="H6" s="1130"/>
      <c r="I6" s="63" t="e">
        <f>S5&amp;".1"</f>
        <v>#N/A</v>
      </c>
      <c r="J6" s="499"/>
      <c r="K6" s="499"/>
      <c r="L6" s="533" t="s">
        <v>408</v>
      </c>
      <c r="M6" s="42"/>
      <c r="P6" s="92">
        <v>1</v>
      </c>
      <c r="Q6" s="92"/>
      <c r="R6" s="93"/>
      <c r="S6" s="64" t="e">
        <f>$I6</f>
        <v>#N/A</v>
      </c>
      <c r="T6" s="94" t="s">
        <v>409</v>
      </c>
      <c r="U6" s="83"/>
      <c r="V6" s="98"/>
      <c r="W6" s="99"/>
      <c r="X6" s="99"/>
      <c r="Y6" s="99"/>
      <c r="Z6" s="99"/>
      <c r="AA6" s="99"/>
      <c r="AB6" s="99"/>
      <c r="AC6" s="136"/>
      <c r="AD6" s="98"/>
      <c r="AE6" s="99"/>
      <c r="AF6" s="99"/>
      <c r="AG6" s="99"/>
      <c r="AH6" s="99"/>
      <c r="AI6" s="99"/>
      <c r="AJ6" s="99"/>
      <c r="AK6" s="99"/>
      <c r="AL6" s="136"/>
      <c r="AM6" s="135" t="s">
        <v>410</v>
      </c>
      <c r="AO6" s="150"/>
      <c r="AP6" s="150" t="str">
        <f t="shared" si="0"/>
        <v>Схема подключения теплопотребляющей установки к коллектору источника тепловой энергии</v>
      </c>
      <c r="AQ6" s="150"/>
      <c r="AR6" s="150"/>
      <c r="AS6" s="42">
        <v>0</v>
      </c>
    </row>
    <row r="7" ht="21" hidden="1" customHeight="1" spans="1:45">
      <c r="A7" s="499"/>
      <c r="B7" s="499"/>
      <c r="C7" s="499"/>
      <c r="D7" s="499"/>
      <c r="E7" s="1130"/>
      <c r="F7" s="1130"/>
      <c r="G7" s="1130"/>
      <c r="H7" s="1130"/>
      <c r="I7" s="125"/>
      <c r="J7" s="63" t="e">
        <f>I6&amp;".1"</f>
        <v>#N/A</v>
      </c>
      <c r="K7" s="499"/>
      <c r="L7" s="533" t="s">
        <v>411</v>
      </c>
      <c r="M7" s="42"/>
      <c r="N7" s="42"/>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99"/>
      <c r="B8" s="499"/>
      <c r="C8" s="499"/>
      <c r="D8" s="499"/>
      <c r="E8" s="1130"/>
      <c r="F8" s="1130"/>
      <c r="G8" s="1130"/>
      <c r="H8" s="1130"/>
      <c r="I8" s="125"/>
      <c r="J8" s="125"/>
      <c r="K8" s="63" t="e">
        <f>J7&amp;".1"</f>
        <v>#N/A</v>
      </c>
      <c r="L8" s="533" t="s">
        <v>414</v>
      </c>
      <c r="M8" s="42"/>
      <c r="N8" s="42"/>
      <c r="O8" s="42"/>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99"/>
      <c r="B9" s="499"/>
      <c r="C9" s="499"/>
      <c r="D9" s="499"/>
      <c r="E9" s="1130"/>
      <c r="F9" s="1130"/>
      <c r="G9" s="1130"/>
      <c r="H9" s="1130"/>
      <c r="I9" s="125"/>
      <c r="J9" s="125"/>
      <c r="K9" s="63"/>
      <c r="L9" s="533"/>
      <c r="M9" s="42"/>
      <c r="N9" s="42"/>
      <c r="O9" s="42"/>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99"/>
      <c r="B10" s="499"/>
      <c r="C10" s="499"/>
      <c r="D10" s="499"/>
      <c r="E10" s="1130"/>
      <c r="F10" s="1130"/>
      <c r="G10" s="1130"/>
      <c r="H10" s="1130"/>
      <c r="I10" s="125"/>
      <c r="J10" s="63"/>
      <c r="K10" s="499"/>
      <c r="L10" s="533"/>
      <c r="M10" s="42"/>
      <c r="N10" s="42"/>
      <c r="P10" s="92"/>
      <c r="Q10" s="92"/>
      <c r="R10" s="93"/>
      <c r="S10" s="104"/>
      <c r="T10" s="105"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99"/>
      <c r="B11" s="499"/>
      <c r="C11" s="499"/>
      <c r="D11" s="499"/>
      <c r="E11" s="1130"/>
      <c r="F11" s="1130"/>
      <c r="G11" s="1130"/>
      <c r="H11" s="1130"/>
      <c r="I11" s="63"/>
      <c r="J11" s="499"/>
      <c r="K11" s="499"/>
      <c r="L11" s="533"/>
      <c r="M11" s="42"/>
      <c r="P11" s="92"/>
      <c r="Q11" s="92"/>
      <c r="R11" s="93"/>
      <c r="S11" s="104"/>
      <c r="T11" s="107"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99"/>
      <c r="B12" s="499"/>
      <c r="C12" s="499"/>
      <c r="D12" s="499"/>
      <c r="E12" s="1130"/>
      <c r="F12" s="1130"/>
      <c r="G12" s="1130"/>
      <c r="H12" s="1129"/>
      <c r="I12" s="499"/>
      <c r="J12" s="499"/>
      <c r="K12" s="499"/>
      <c r="L12" s="533"/>
      <c r="M12" s="41"/>
      <c r="N12" s="41"/>
      <c r="O12" s="42"/>
      <c r="P12" s="80"/>
      <c r="Q12" s="108"/>
      <c r="R12" s="81"/>
      <c r="S12" s="104"/>
      <c r="T12" s="109" t="s">
        <v>418</v>
      </c>
      <c r="U12" s="106"/>
      <c r="V12" s="106"/>
      <c r="W12" s="106"/>
      <c r="X12" s="106"/>
      <c r="Y12" s="106"/>
      <c r="Z12" s="106"/>
      <c r="AA12" s="106"/>
      <c r="AB12" s="106"/>
      <c r="AC12" s="146"/>
      <c r="AD12" s="106"/>
      <c r="AE12" s="106"/>
      <c r="AF12" s="106"/>
      <c r="AG12" s="106"/>
      <c r="AH12" s="106"/>
      <c r="AI12" s="106"/>
      <c r="AJ12" s="106"/>
      <c r="AK12" s="146"/>
      <c r="AL12" s="106"/>
      <c r="AM12" s="147"/>
      <c r="AO12" s="150"/>
      <c r="AP12" s="150" t="str">
        <f t="shared" si="0"/>
        <v>Добавить схему подключения</v>
      </c>
      <c r="AQ12" s="150"/>
      <c r="AR12" s="150"/>
      <c r="AS12" s="42">
        <v>0</v>
      </c>
    </row>
    <row r="13" s="43" customFormat="1" ht="0.75" hidden="1" customHeight="1" spans="1:45">
      <c r="A13" s="1131"/>
      <c r="B13" s="1131"/>
      <c r="C13" s="1131"/>
      <c r="D13" s="1131"/>
      <c r="E13" s="1130"/>
      <c r="F13" s="1130"/>
      <c r="G13" s="1129"/>
      <c r="H13" s="1131"/>
      <c r="I13" s="1131"/>
      <c r="J13" s="1131"/>
      <c r="K13" s="1131"/>
      <c r="L13" s="1133"/>
      <c r="M13" s="1134"/>
      <c r="N13" s="1134"/>
      <c r="O13" s="36"/>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1131"/>
      <c r="B14" s="1131"/>
      <c r="C14" s="1131"/>
      <c r="D14" s="1131"/>
      <c r="E14" s="1130"/>
      <c r="F14" s="1129"/>
      <c r="G14" s="1131"/>
      <c r="H14" s="1131"/>
      <c r="I14" s="1131"/>
      <c r="J14" s="1131"/>
      <c r="K14" s="1131"/>
      <c r="L14" s="1133"/>
      <c r="M14" s="1135"/>
      <c r="N14" s="1135"/>
      <c r="O14" s="36"/>
      <c r="P14" s="151"/>
      <c r="Q14" s="1068"/>
      <c r="R14" s="151"/>
      <c r="S14" s="1070"/>
      <c r="T14" s="1154" t="s">
        <v>251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1131"/>
      <c r="B15" s="1131"/>
      <c r="C15" s="1131"/>
      <c r="D15" s="1131"/>
      <c r="E15" s="1129"/>
      <c r="F15" s="1131"/>
      <c r="G15" s="1131"/>
      <c r="H15" s="1131"/>
      <c r="I15" s="1131"/>
      <c r="J15" s="1131"/>
      <c r="K15" s="1131"/>
      <c r="L15" s="1133"/>
      <c r="M15" s="1135"/>
      <c r="N15" s="1135"/>
      <c r="O15" s="36"/>
      <c r="P15" s="151"/>
      <c r="Q15" s="1068"/>
      <c r="R15" s="151"/>
      <c r="S15" s="1070"/>
      <c r="T15" s="1071" t="s">
        <v>252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idden="1" customHeight="1" spans="1:45">
      <c r="A20" s="42"/>
      <c r="B20" s="42"/>
      <c r="C20" s="42"/>
      <c r="D20" s="42"/>
      <c r="E20" s="42"/>
      <c r="F20" s="42"/>
      <c r="G20" s="42"/>
      <c r="H20" s="42"/>
      <c r="I20" s="42"/>
      <c r="J20" s="42"/>
      <c r="K20" s="42"/>
      <c r="L20" s="85"/>
      <c r="M20" s="39"/>
      <c r="N20" s="39"/>
      <c r="O20" s="1084" t="s">
        <v>420</v>
      </c>
      <c r="P20" s="38"/>
      <c r="Q20" s="1037"/>
      <c r="R20" s="1037"/>
      <c r="S20" s="46"/>
      <c r="Z20" s="1046"/>
      <c r="AB20" s="1046"/>
      <c r="AH20" s="1046"/>
      <c r="AJ20" s="1046"/>
      <c r="AN20" s="43"/>
      <c r="AO20" s="43"/>
      <c r="AP20" s="43"/>
      <c r="AQ20" s="43"/>
      <c r="AR20" s="43"/>
      <c r="AS20" s="37">
        <v>0</v>
      </c>
    </row>
    <row r="21" s="37" customFormat="1" hidden="1" customHeight="1" spans="1:45">
      <c r="A21" s="42"/>
      <c r="B21" s="42"/>
      <c r="C21" s="42"/>
      <c r="D21" s="42"/>
      <c r="E21" s="42"/>
      <c r="F21" s="42"/>
      <c r="G21" s="42"/>
      <c r="H21" s="42"/>
      <c r="I21" s="42"/>
      <c r="J21" s="42"/>
      <c r="K21" s="42"/>
      <c r="L21" s="85"/>
      <c r="M21" s="39"/>
      <c r="N21" s="39"/>
      <c r="O21" s="39"/>
      <c r="P21" s="38"/>
      <c r="Q21" s="1037"/>
      <c r="R21" s="1037"/>
      <c r="S21" s="46"/>
      <c r="AN21" s="43"/>
      <c r="AO21" s="43"/>
      <c r="AP21" s="43"/>
      <c r="AQ21" s="43"/>
      <c r="AR21" s="43"/>
      <c r="AS21" s="37">
        <v>0</v>
      </c>
    </row>
    <row r="22" s="37" customFormat="1" hidden="1" customHeight="1" spans="1:45">
      <c r="A22" s="42"/>
      <c r="B22" s="42"/>
      <c r="C22" s="42"/>
      <c r="D22" s="42"/>
      <c r="E22" s="42"/>
      <c r="F22" s="42"/>
      <c r="G22" s="42"/>
      <c r="H22" s="42"/>
      <c r="I22" s="42"/>
      <c r="J22" s="42"/>
      <c r="K22" s="42"/>
      <c r="L22" s="85"/>
      <c r="M22" s="39"/>
      <c r="N22" s="39"/>
      <c r="O22" s="533"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533"/>
      <c r="AS23" s="42">
        <v>0</v>
      </c>
    </row>
    <row r="24" hidden="1" customHeight="1" spans="15:45">
      <c r="O24" s="533"/>
      <c r="AS24" s="42">
        <v>0</v>
      </c>
    </row>
    <row r="25" ht="14.7" customHeight="1" spans="17:45">
      <c r="Q25" s="50"/>
      <c r="R25" s="50"/>
      <c r="S25" s="51"/>
      <c r="T25" s="52"/>
      <c r="U25" s="52"/>
      <c r="AS25" s="42">
        <v>14</v>
      </c>
    </row>
    <row r="26" ht="14.7" customHeight="1" spans="17:45">
      <c r="Q26" s="50"/>
      <c r="R26" s="50"/>
      <c r="S26" s="75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50"/>
      <c r="U26" s="750"/>
      <c r="V26" s="750"/>
      <c r="W26" s="750"/>
      <c r="X26" s="750"/>
      <c r="Y26" s="750"/>
      <c r="Z26" s="750"/>
      <c r="AA26" s="750"/>
      <c r="AB26" s="750"/>
      <c r="AC26" s="750"/>
      <c r="AD26" s="750"/>
      <c r="AE26" s="750"/>
      <c r="AF26" s="750"/>
      <c r="AG26" s="750"/>
      <c r="AH26" s="750"/>
      <c r="AI26" s="750"/>
      <c r="AJ26" s="750"/>
      <c r="AK26" s="120"/>
      <c r="AS26" s="42">
        <v>14</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hidden="1"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hidden="1" customHeight="1" spans="1:45">
      <c r="A29" s="500"/>
      <c r="B29" s="500"/>
      <c r="C29" s="500"/>
      <c r="D29" s="500"/>
      <c r="E29" s="500"/>
      <c r="F29" s="500"/>
      <c r="G29" s="500"/>
      <c r="H29" s="500"/>
      <c r="I29" s="500"/>
      <c r="J29" s="500"/>
      <c r="K29" s="500"/>
      <c r="L29" s="533"/>
      <c r="M29" s="500"/>
      <c r="N29" s="500"/>
      <c r="O29" s="500"/>
      <c r="S29" s="57" t="s">
        <v>42</v>
      </c>
      <c r="T29" s="57"/>
      <c r="U29" s="1074"/>
      <c r="V29" s="59" t="str">
        <f>IF(TITLE_NAME_OR_PR_CHANGE="",IF(TITLE_NAME_OR_PR="","",TITLE_NAME_OR_PR),TITLE_NAME_OR_PR_CHANGE)</f>
        <v>Государственный комитет РТ по тарифам</v>
      </c>
      <c r="W29" s="59"/>
      <c r="X29" s="59"/>
      <c r="Y29" s="59"/>
      <c r="Z29" s="59"/>
      <c r="AA29" s="59"/>
      <c r="AB29" s="59"/>
      <c r="AC29" s="42"/>
      <c r="AD29" s="59" t="str">
        <f>IF(TITLE_NAME_OR_PR_CHANGE="",IF(TITLE_NAME_OR_PR="","",TITLE_NAME_OR_PR),TITLE_NAME_OR_PR_CHANGE)</f>
        <v>Государственный комитет РТ по тарифам</v>
      </c>
      <c r="AE29" s="59"/>
      <c r="AF29" s="59"/>
      <c r="AG29" s="59"/>
      <c r="AH29" s="59"/>
      <c r="AI29" s="59"/>
      <c r="AJ29" s="59"/>
      <c r="AK29" s="42"/>
      <c r="AL29" s="42"/>
      <c r="AM29" s="121"/>
      <c r="AN29" s="150"/>
      <c r="AO29" s="150"/>
      <c r="AP29" s="150"/>
      <c r="AQ29" s="150"/>
      <c r="AR29" s="150"/>
      <c r="AS29" s="35">
        <v>0</v>
      </c>
    </row>
    <row r="30" s="35" customFormat="1" ht="18.75" hidden="1" customHeight="1" spans="1:45">
      <c r="A30" s="500"/>
      <c r="B30" s="500"/>
      <c r="C30" s="500"/>
      <c r="D30" s="500"/>
      <c r="E30" s="500"/>
      <c r="F30" s="500"/>
      <c r="G30" s="500"/>
      <c r="H30" s="500"/>
      <c r="I30" s="500"/>
      <c r="J30" s="500"/>
      <c r="K30" s="500"/>
      <c r="L30" s="533"/>
      <c r="M30" s="500"/>
      <c r="N30" s="500"/>
      <c r="O30" s="500"/>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hidden="1" customHeight="1" spans="1:45">
      <c r="A31" s="500"/>
      <c r="B31" s="500"/>
      <c r="C31" s="500"/>
      <c r="D31" s="500"/>
      <c r="E31" s="500"/>
      <c r="F31" s="500"/>
      <c r="G31" s="500"/>
      <c r="H31" s="500"/>
      <c r="I31" s="500"/>
      <c r="J31" s="500"/>
      <c r="K31" s="500"/>
      <c r="L31" s="533"/>
      <c r="M31" s="500"/>
      <c r="N31" s="500"/>
      <c r="O31" s="500"/>
      <c r="S31" s="57" t="s">
        <v>427</v>
      </c>
      <c r="T31" s="57"/>
      <c r="U31" s="1074"/>
      <c r="V31" s="59" t="str">
        <f>IF(TITLE_NUMBER_PR_CHANGE="",IF(TITLE_NUMBER_PR="","",TITLE_NUMBER_PR),TITLE_NUMBER_PR_CHANGE)</f>
        <v>108-73/тп-2024</v>
      </c>
      <c r="W31" s="59"/>
      <c r="X31" s="59"/>
      <c r="Y31" s="59"/>
      <c r="Z31" s="59"/>
      <c r="AA31" s="59"/>
      <c r="AB31" s="59"/>
      <c r="AC31" s="42"/>
      <c r="AD31" s="59" t="str">
        <f>IF(TITLE_NUMBER_PR_CHANGE="",IF(TITLE_NUMBER_PR="","",TITLE_NUMBER_PR),TITLE_NUMBER_PR_CHANGE)</f>
        <v>108-73/тп-2024</v>
      </c>
      <c r="AE31" s="59"/>
      <c r="AF31" s="59"/>
      <c r="AG31" s="59"/>
      <c r="AH31" s="59"/>
      <c r="AI31" s="59"/>
      <c r="AJ31" s="59"/>
      <c r="AK31" s="42"/>
      <c r="AL31" s="42"/>
      <c r="AM31" s="121"/>
      <c r="AN31" s="150"/>
      <c r="AO31" s="150"/>
      <c r="AP31" s="150"/>
      <c r="AQ31" s="150"/>
      <c r="AR31" s="150"/>
      <c r="AS31" s="35">
        <v>0</v>
      </c>
    </row>
    <row r="32" s="35" customFormat="1" ht="18.75" hidden="1" customHeight="1" spans="1:45">
      <c r="A32" s="500"/>
      <c r="B32" s="500"/>
      <c r="C32" s="500"/>
      <c r="D32" s="500"/>
      <c r="E32" s="500"/>
      <c r="F32" s="500"/>
      <c r="G32" s="500"/>
      <c r="H32" s="500"/>
      <c r="I32" s="500"/>
      <c r="J32" s="500"/>
      <c r="K32" s="500"/>
      <c r="L32" s="533"/>
      <c r="M32" s="500"/>
      <c r="N32" s="500"/>
      <c r="O32" s="500"/>
      <c r="S32" s="57" t="s">
        <v>44</v>
      </c>
      <c r="T32" s="57"/>
      <c r="U32" s="1074"/>
      <c r="V32" s="59" t="str">
        <f>IF(TITLE_IST_PUB_CHANGE="",IF(TITLE_IST_PUB="","",TITLE_IST_PUB),TITLE_IST_PUB_CHANGE)</f>
        <v>"Официальный портал правовой информации
Республики Татарстан"</v>
      </c>
      <c r="W32" s="59"/>
      <c r="X32" s="59"/>
      <c r="Y32" s="59"/>
      <c r="Z32" s="59"/>
      <c r="AA32" s="59"/>
      <c r="AB32" s="59"/>
      <c r="AC32" s="42"/>
      <c r="AD32" s="59" t="str">
        <f>IF(TITLE_IST_PUB_CHANGE="",IF(TITLE_IST_PUB="","",TITLE_IST_PUB),TITLE_IST_PUB_CHANGE)</f>
        <v>"Официальный портал правовой информации
Республики Татарстан"</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500"/>
      <c r="B34" s="500"/>
      <c r="C34" s="500"/>
      <c r="D34" s="500"/>
      <c r="E34" s="500"/>
      <c r="F34" s="500"/>
      <c r="G34" s="500"/>
      <c r="H34" s="500"/>
      <c r="I34" s="500"/>
      <c r="J34" s="500"/>
      <c r="K34" s="500"/>
      <c r="L34" s="533"/>
      <c r="M34" s="500"/>
      <c r="N34" s="500"/>
      <c r="O34" s="500"/>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500"/>
      <c r="B35" s="500"/>
      <c r="C35" s="500"/>
      <c r="D35" s="500"/>
      <c r="E35" s="500"/>
      <c r="F35" s="500"/>
      <c r="G35" s="500"/>
      <c r="H35" s="500"/>
      <c r="I35" s="500"/>
      <c r="J35" s="500"/>
      <c r="K35" s="500"/>
      <c r="L35" s="533"/>
      <c r="M35" s="500"/>
      <c r="N35" s="500"/>
      <c r="O35" s="500"/>
      <c r="S35" s="57" t="s">
        <v>429</v>
      </c>
      <c r="T35" s="57"/>
      <c r="U35" s="1074"/>
      <c r="V35" s="59" t="str">
        <f>IF(TITLE_NUMBER_PR_CHANGE="",IF(TITLE_NUMBER_PR="","",TITLE_NUMBER_PR),TITLE_NUMBER_PR_CHANGE)</f>
        <v>108-73/тп-2024</v>
      </c>
      <c r="W35" s="59"/>
      <c r="X35" s="59"/>
      <c r="Y35" s="59"/>
      <c r="Z35" s="59"/>
      <c r="AA35" s="59"/>
      <c r="AB35" s="59"/>
      <c r="AC35" s="42"/>
      <c r="AD35" s="59" t="str">
        <f>IF(TITLE_NUMBER_PR_CHANGE="",IF(TITLE_NUMBER_PR="","",TITLE_NUMBER_PR),TITLE_NUMBER_PR_CHANGE)</f>
        <v>108-73/тп-2024</v>
      </c>
      <c r="AE35" s="59"/>
      <c r="AF35" s="59"/>
      <c r="AG35" s="59"/>
      <c r="AH35" s="59"/>
      <c r="AI35" s="59"/>
      <c r="AJ35" s="59"/>
      <c r="AK35" s="42"/>
      <c r="AL35" s="42"/>
      <c r="AM35" s="121"/>
      <c r="AN35" s="150"/>
      <c r="AO35" s="150"/>
      <c r="AP35" s="150"/>
      <c r="AQ35" s="150"/>
      <c r="AR35" s="150"/>
      <c r="AS35" s="35">
        <v>0</v>
      </c>
    </row>
    <row r="36" s="35" customFormat="1" hidden="1" customHeight="1" spans="1:45">
      <c r="A36" s="500"/>
      <c r="B36" s="500"/>
      <c r="C36" s="500"/>
      <c r="D36" s="500"/>
      <c r="E36" s="500"/>
      <c r="F36" s="500"/>
      <c r="G36" s="500"/>
      <c r="H36" s="500"/>
      <c r="I36" s="500"/>
      <c r="J36" s="500"/>
      <c r="K36" s="500"/>
      <c r="L36" s="533"/>
      <c r="M36" s="500"/>
      <c r="N36" s="500"/>
      <c r="O36" s="500"/>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t="s">
        <v>437</v>
      </c>
      <c r="X40" s="125" t="s">
        <v>438</v>
      </c>
      <c r="Y40" s="126"/>
      <c r="Z40" s="125" t="s">
        <v>451</v>
      </c>
      <c r="AA40" s="127"/>
      <c r="AB40" s="126"/>
      <c r="AC40" s="128"/>
      <c r="AD40" s="70" t="s">
        <v>436</v>
      </c>
      <c r="AE40" s="1167" t="s">
        <v>437</v>
      </c>
      <c r="AF40" s="125" t="s">
        <v>438</v>
      </c>
      <c r="AG40" s="126"/>
      <c r="AH40" s="125" t="s">
        <v>439</v>
      </c>
      <c r="AI40" s="127"/>
      <c r="AJ40" s="126"/>
      <c r="AK40" s="128"/>
      <c r="AL40" s="129"/>
      <c r="AM40" s="63"/>
      <c r="AS40" s="42">
        <v>34</v>
      </c>
    </row>
    <row r="41" ht="35.7" customHeight="1" spans="1:45">
      <c r="A41" s="500"/>
      <c r="B41" s="500" t="s">
        <v>137</v>
      </c>
      <c r="C41" s="500" t="s">
        <v>138</v>
      </c>
      <c r="D41" s="500" t="s">
        <v>139</v>
      </c>
      <c r="E41" s="533" t="s">
        <v>440</v>
      </c>
      <c r="F41" s="533" t="s">
        <v>441</v>
      </c>
      <c r="G41" s="533" t="s">
        <v>442</v>
      </c>
      <c r="H41" s="533" t="s">
        <v>443</v>
      </c>
      <c r="I41" s="533" t="s">
        <v>444</v>
      </c>
      <c r="J41" s="533" t="s">
        <v>445</v>
      </c>
      <c r="K41" s="533" t="s">
        <v>446</v>
      </c>
      <c r="L41" s="533"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500"/>
      <c r="B42" s="500"/>
      <c r="C42" s="500"/>
      <c r="D42" s="500"/>
      <c r="E42" s="500"/>
      <c r="F42" s="500"/>
      <c r="G42" s="500"/>
      <c r="H42" s="500"/>
      <c r="I42" s="500"/>
      <c r="J42" s="500"/>
      <c r="K42" s="500"/>
      <c r="L42" s="533"/>
      <c r="M42" s="39"/>
      <c r="N42" s="39"/>
      <c r="O42" s="39"/>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99" t="s">
        <v>212</v>
      </c>
      <c r="B43" s="499"/>
      <c r="C43" s="499"/>
      <c r="D43" s="499"/>
      <c r="E43" s="1129">
        <v>1</v>
      </c>
      <c r="F43" s="499"/>
      <c r="G43" s="499"/>
      <c r="H43" s="499"/>
      <c r="I43" s="499"/>
      <c r="J43" s="499"/>
      <c r="K43" s="499"/>
      <c r="L43" s="533"/>
      <c r="M43" s="41"/>
      <c r="N43" s="41"/>
      <c r="O43" s="41"/>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99" t="s">
        <v>212</v>
      </c>
      <c r="B44" s="499" t="s">
        <v>213</v>
      </c>
      <c r="C44" s="499"/>
      <c r="D44" s="499"/>
      <c r="E44" s="1130"/>
      <c r="F44" s="1129">
        <v>1</v>
      </c>
      <c r="G44" s="499"/>
      <c r="H44" s="499"/>
      <c r="I44" s="499"/>
      <c r="J44" s="499"/>
      <c r="K44" s="499"/>
      <c r="L44" s="533"/>
      <c r="M44" s="41"/>
      <c r="N44" s="41"/>
      <c r="O44" s="41"/>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99" t="s">
        <v>212</v>
      </c>
      <c r="B45" s="499" t="s">
        <v>213</v>
      </c>
      <c r="C45" s="499" t="s">
        <v>214</v>
      </c>
      <c r="D45" s="499"/>
      <c r="E45" s="1130"/>
      <c r="F45" s="1130"/>
      <c r="G45" s="1129">
        <v>1</v>
      </c>
      <c r="H45" s="499"/>
      <c r="I45" s="499"/>
      <c r="J45" s="499"/>
      <c r="K45" s="499"/>
      <c r="L45" s="533"/>
      <c r="M45" s="41"/>
      <c r="N45" s="41"/>
      <c r="O45" s="41"/>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99" t="s">
        <v>212</v>
      </c>
      <c r="B46" s="499" t="s">
        <v>213</v>
      </c>
      <c r="C46" s="499" t="s">
        <v>214</v>
      </c>
      <c r="D46" s="499" t="s">
        <v>215</v>
      </c>
      <c r="E46" s="1130"/>
      <c r="F46" s="1130"/>
      <c r="G46" s="1130"/>
      <c r="H46" s="1129">
        <v>1</v>
      </c>
      <c r="I46" s="499"/>
      <c r="J46" s="499"/>
      <c r="K46" s="499"/>
      <c r="L46" s="533"/>
      <c r="M46" s="41"/>
      <c r="N46" s="41"/>
      <c r="O46" s="41"/>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ht="49.5" customHeight="1" spans="1:45">
      <c r="A47" s="499" t="s">
        <v>212</v>
      </c>
      <c r="B47" s="499" t="s">
        <v>213</v>
      </c>
      <c r="C47" s="499" t="s">
        <v>214</v>
      </c>
      <c r="D47" s="499" t="s">
        <v>215</v>
      </c>
      <c r="E47" s="1130"/>
      <c r="F47" s="1130"/>
      <c r="G47" s="1130"/>
      <c r="H47" s="1130"/>
      <c r="I47" s="63" t="str">
        <f>S46&amp;".1"</f>
        <v>....1</v>
      </c>
      <c r="J47" s="499"/>
      <c r="K47" s="499"/>
      <c r="L47" s="533" t="s">
        <v>408</v>
      </c>
      <c r="P47" s="92">
        <v>1</v>
      </c>
      <c r="Q47" s="92"/>
      <c r="R47" s="93"/>
      <c r="S47" s="64" t="str">
        <f>$I47</f>
        <v>....1</v>
      </c>
      <c r="T47" s="94" t="s">
        <v>409</v>
      </c>
      <c r="U47" s="83"/>
      <c r="V47" s="98"/>
      <c r="W47" s="99"/>
      <c r="X47" s="99"/>
      <c r="Y47" s="99"/>
      <c r="Z47" s="99"/>
      <c r="AA47" s="99"/>
      <c r="AB47" s="99"/>
      <c r="AC47" s="136"/>
      <c r="AD47" s="98"/>
      <c r="AE47" s="99"/>
      <c r="AF47" s="99"/>
      <c r="AG47" s="99"/>
      <c r="AH47" s="99"/>
      <c r="AI47" s="99"/>
      <c r="AJ47" s="99"/>
      <c r="AK47" s="99"/>
      <c r="AL47" s="136"/>
      <c r="AM47" s="135" t="s">
        <v>410</v>
      </c>
      <c r="AO47" s="150"/>
      <c r="AP47" s="150" t="str">
        <f t="shared" si="1"/>
        <v>Схема подключения теплопотребляющей установки к коллектору источника тепловой энергии</v>
      </c>
      <c r="AQ47" s="150"/>
      <c r="AR47" s="150"/>
      <c r="AS47" s="42">
        <v>47</v>
      </c>
    </row>
    <row r="48" ht="22.05" customHeight="1" spans="1:45">
      <c r="A48" s="499" t="s">
        <v>212</v>
      </c>
      <c r="B48" s="499" t="s">
        <v>213</v>
      </c>
      <c r="C48" s="499" t="s">
        <v>214</v>
      </c>
      <c r="D48" s="499" t="s">
        <v>215</v>
      </c>
      <c r="E48" s="1130"/>
      <c r="F48" s="1130"/>
      <c r="G48" s="1130"/>
      <c r="H48" s="1130"/>
      <c r="I48" s="125"/>
      <c r="J48" s="63" t="str">
        <f>I47&amp;".1"</f>
        <v>....1.1</v>
      </c>
      <c r="K48" s="499"/>
      <c r="L48" s="533" t="s">
        <v>411</v>
      </c>
      <c r="P48" s="92"/>
      <c r="Q48" s="92">
        <v>1</v>
      </c>
      <c r="R48" s="96"/>
      <c r="S48" s="64" t="str">
        <f>$J48</f>
        <v>....1.1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99" t="s">
        <v>212</v>
      </c>
      <c r="B49" s="499" t="s">
        <v>213</v>
      </c>
      <c r="C49" s="499" t="s">
        <v>214</v>
      </c>
      <c r="D49" s="499" t="s">
        <v>215</v>
      </c>
      <c r="E49" s="1130"/>
      <c r="F49" s="1130"/>
      <c r="G49" s="1130"/>
      <c r="H49" s="1130"/>
      <c r="I49" s="125"/>
      <c r="J49" s="125"/>
      <c r="K49" s="63" t="str">
        <f>J48&amp;".1"</f>
        <v>....1.1.1</v>
      </c>
      <c r="L49" s="533" t="s">
        <v>414</v>
      </c>
      <c r="P49" s="92"/>
      <c r="Q49" s="92"/>
      <c r="R49" s="96">
        <v>1</v>
      </c>
      <c r="S49" s="64" t="str">
        <f>$K49</f>
        <v>....1.1.1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415</v>
      </c>
      <c r="AN49" s="43" t="e">
        <f>STRCHECKDATE(V50:AL50)</f>
        <v>#NAME?</v>
      </c>
      <c r="AO49" s="150"/>
      <c r="AP49" s="150" t="str">
        <f t="shared" si="1"/>
        <v/>
      </c>
      <c r="AQ49" s="150"/>
      <c r="AR49" s="150"/>
      <c r="AS49" s="42">
        <v>21</v>
      </c>
    </row>
    <row r="50" ht="1.05" customHeight="1" spans="1:45">
      <c r="A50" s="499" t="s">
        <v>212</v>
      </c>
      <c r="B50" s="499" t="s">
        <v>213</v>
      </c>
      <c r="C50" s="499" t="s">
        <v>214</v>
      </c>
      <c r="D50" s="499" t="s">
        <v>215</v>
      </c>
      <c r="E50" s="1130"/>
      <c r="F50" s="1130"/>
      <c r="G50" s="1130"/>
      <c r="H50" s="1130"/>
      <c r="I50" s="125"/>
      <c r="J50" s="125"/>
      <c r="K50" s="63"/>
      <c r="L50" s="533"/>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99" t="s">
        <v>212</v>
      </c>
      <c r="B51" s="499" t="s">
        <v>213</v>
      </c>
      <c r="C51" s="499" t="s">
        <v>214</v>
      </c>
      <c r="D51" s="499" t="s">
        <v>215</v>
      </c>
      <c r="E51" s="1130"/>
      <c r="F51" s="1130"/>
      <c r="G51" s="1130"/>
      <c r="H51" s="1130"/>
      <c r="I51" s="125"/>
      <c r="J51" s="63"/>
      <c r="K51" s="499"/>
      <c r="L51" s="533"/>
      <c r="P51" s="92"/>
      <c r="Q51" s="92"/>
      <c r="R51" s="93"/>
      <c r="S51" s="104"/>
      <c r="T51" s="105"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99" t="s">
        <v>212</v>
      </c>
      <c r="B52" s="499" t="s">
        <v>213</v>
      </c>
      <c r="C52" s="499" t="s">
        <v>214</v>
      </c>
      <c r="D52" s="499" t="s">
        <v>215</v>
      </c>
      <c r="E52" s="1130"/>
      <c r="F52" s="1130"/>
      <c r="G52" s="1130"/>
      <c r="H52" s="1130"/>
      <c r="I52" s="63"/>
      <c r="J52" s="499"/>
      <c r="K52" s="499"/>
      <c r="L52" s="533"/>
      <c r="P52" s="92"/>
      <c r="Q52" s="92"/>
      <c r="R52" s="93"/>
      <c r="S52" s="104"/>
      <c r="T52" s="107"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t="14.7" customHeight="1" spans="1:45">
      <c r="A53" s="499" t="s">
        <v>212</v>
      </c>
      <c r="B53" s="499" t="s">
        <v>213</v>
      </c>
      <c r="C53" s="499" t="s">
        <v>214</v>
      </c>
      <c r="D53" s="499" t="s">
        <v>215</v>
      </c>
      <c r="E53" s="1130"/>
      <c r="F53" s="1130"/>
      <c r="G53" s="1130"/>
      <c r="H53" s="1129"/>
      <c r="I53" s="499"/>
      <c r="J53" s="499"/>
      <c r="K53" s="499"/>
      <c r="L53" s="533"/>
      <c r="M53" s="41"/>
      <c r="N53" s="41"/>
      <c r="O53" s="42"/>
      <c r="P53" s="80"/>
      <c r="Q53" s="108"/>
      <c r="R53" s="81"/>
      <c r="S53" s="104"/>
      <c r="T53" s="109" t="s">
        <v>418</v>
      </c>
      <c r="U53" s="106"/>
      <c r="V53" s="106"/>
      <c r="W53" s="106"/>
      <c r="X53" s="106"/>
      <c r="Y53" s="106"/>
      <c r="Z53" s="106"/>
      <c r="AA53" s="106"/>
      <c r="AB53" s="106"/>
      <c r="AC53" s="146"/>
      <c r="AD53" s="106"/>
      <c r="AE53" s="106"/>
      <c r="AF53" s="106"/>
      <c r="AG53" s="106"/>
      <c r="AH53" s="106"/>
      <c r="AI53" s="106"/>
      <c r="AJ53" s="106"/>
      <c r="AK53" s="146"/>
      <c r="AL53" s="106"/>
      <c r="AM53" s="147"/>
      <c r="AO53" s="150"/>
      <c r="AP53" s="150" t="str">
        <f t="shared" si="1"/>
        <v>Добавить схему подключения</v>
      </c>
      <c r="AQ53" s="150"/>
      <c r="AR53" s="150"/>
      <c r="AS53" s="42">
        <v>14</v>
      </c>
    </row>
    <row r="54" s="43" customFormat="1" ht="4.2" customHeight="1" spans="1:45">
      <c r="A54" s="1131" t="s">
        <v>212</v>
      </c>
      <c r="B54" s="1131" t="s">
        <v>213</v>
      </c>
      <c r="C54" s="1131" t="s">
        <v>214</v>
      </c>
      <c r="D54" s="1131"/>
      <c r="E54" s="1130"/>
      <c r="F54" s="1130"/>
      <c r="G54" s="1129"/>
      <c r="H54" s="1131"/>
      <c r="I54" s="1131"/>
      <c r="J54" s="1131"/>
      <c r="K54" s="1131"/>
      <c r="L54" s="1133"/>
      <c r="M54" s="1134"/>
      <c r="N54" s="1134"/>
      <c r="O54" s="36"/>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4</v>
      </c>
    </row>
    <row r="55" s="43" customFormat="1" ht="4.2" customHeight="1" spans="1:45">
      <c r="A55" s="1131" t="s">
        <v>212</v>
      </c>
      <c r="B55" s="1131" t="s">
        <v>213</v>
      </c>
      <c r="C55" s="1131"/>
      <c r="D55" s="1131"/>
      <c r="E55" s="1130"/>
      <c r="F55" s="1129"/>
      <c r="G55" s="1131"/>
      <c r="H55" s="1131"/>
      <c r="I55" s="1131"/>
      <c r="J55" s="1131"/>
      <c r="K55" s="1131"/>
      <c r="L55" s="1133"/>
      <c r="M55" s="1135"/>
      <c r="N55" s="1135"/>
      <c r="O55" s="36"/>
      <c r="P55" s="151"/>
      <c r="Q55" s="1068"/>
      <c r="R55" s="151"/>
      <c r="S55" s="1070"/>
      <c r="T55" s="1071" t="s">
        <v>251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4</v>
      </c>
    </row>
    <row r="56" s="43" customFormat="1" ht="4.2" customHeight="1" spans="1:45">
      <c r="A56" s="1131" t="s">
        <v>212</v>
      </c>
      <c r="B56" s="1131"/>
      <c r="C56" s="1131"/>
      <c r="D56" s="1131"/>
      <c r="E56" s="1129"/>
      <c r="F56" s="1131"/>
      <c r="G56" s="1131"/>
      <c r="H56" s="1131"/>
      <c r="I56" s="1131"/>
      <c r="J56" s="1131"/>
      <c r="K56" s="1131"/>
      <c r="L56" s="1133"/>
      <c r="M56" s="1135"/>
      <c r="N56" s="1135"/>
      <c r="O56" s="36"/>
      <c r="P56" s="151"/>
      <c r="Q56" s="1068"/>
      <c r="R56" s="151"/>
      <c r="S56" s="1070"/>
      <c r="T56" s="1071" t="s">
        <v>252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4</v>
      </c>
    </row>
    <row r="57" s="43" customFormat="1" ht="4.2" customHeight="1" spans="1:45">
      <c r="A57" s="1131"/>
      <c r="B57" s="1131"/>
      <c r="C57" s="1131"/>
      <c r="D57" s="1131"/>
      <c r="E57" s="1131"/>
      <c r="F57" s="1131"/>
      <c r="G57" s="1131"/>
      <c r="H57" s="1131"/>
      <c r="I57" s="1131"/>
      <c r="J57" s="1131"/>
      <c r="K57" s="1131"/>
      <c r="L57" s="1133"/>
      <c r="M57" s="1135"/>
      <c r="N57" s="1135"/>
      <c r="O57" s="36"/>
      <c r="P57" s="151"/>
      <c r="Q57" s="1068"/>
      <c r="R57" s="151"/>
      <c r="S57" s="1070"/>
      <c r="T57" s="1071" t="s">
        <v>253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4</v>
      </c>
    </row>
    <row r="58" ht="11.55" customHeight="1" spans="13:45">
      <c r="M58" s="42"/>
      <c r="N58" s="42"/>
      <c r="O58" s="42"/>
      <c r="P58" s="42"/>
      <c r="Q58" s="42"/>
      <c r="R58" s="42"/>
      <c r="S58" s="42"/>
      <c r="AN58" s="42"/>
      <c r="AO58" s="42"/>
      <c r="AP58" s="42"/>
      <c r="AQ58" s="42"/>
      <c r="AR58" s="42"/>
      <c r="AS58" s="42">
        <v>11</v>
      </c>
    </row>
    <row r="59" ht="28.5" customHeight="1" spans="15:45">
      <c r="O59" s="42"/>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27</v>
      </c>
    </row>
    <row r="60" ht="65.25" customHeight="1" spans="15:45">
      <c r="O60" s="42"/>
      <c r="T60" s="119"/>
      <c r="U60" s="119"/>
      <c r="V60" s="119"/>
      <c r="W60" s="119"/>
      <c r="X60" s="119"/>
      <c r="Y60" s="119"/>
      <c r="Z60" s="119"/>
      <c r="AA60" s="119"/>
      <c r="AB60" s="119"/>
      <c r="AC60" s="119"/>
      <c r="AD60" s="119"/>
      <c r="AE60" s="119"/>
      <c r="AF60" s="119"/>
      <c r="AG60" s="119"/>
      <c r="AH60" s="119"/>
      <c r="AI60" s="119"/>
      <c r="AJ60" s="119"/>
      <c r="AK60" s="119"/>
      <c r="AL60" s="119"/>
      <c r="AM60" s="119"/>
      <c r="AS60" s="42">
        <v>62</v>
      </c>
    </row>
    <row r="61" ht="14.7" customHeight="1" spans="15:45">
      <c r="O61" s="42"/>
      <c r="AS61" s="42">
        <v>14</v>
      </c>
    </row>
    <row r="62" ht="18.75" customHeight="1" spans="15:45">
      <c r="O62" s="42"/>
      <c r="S62" s="781"/>
      <c r="T62" s="119"/>
      <c r="U62" s="119"/>
      <c r="V62" s="119"/>
      <c r="W62" s="119"/>
      <c r="X62" s="119"/>
      <c r="Y62" s="119"/>
      <c r="Z62" s="119"/>
      <c r="AA62" s="119"/>
      <c r="AB62" s="119"/>
      <c r="AC62" s="119"/>
      <c r="AD62" s="119"/>
      <c r="AE62" s="119"/>
      <c r="AF62" s="119"/>
      <c r="AG62" s="119"/>
      <c r="AH62" s="119"/>
      <c r="AI62" s="119"/>
      <c r="AJ62" s="119"/>
      <c r="AK62" s="119"/>
      <c r="AL62" s="119"/>
      <c r="AM62" s="119"/>
      <c r="AS62" s="42">
        <v>18</v>
      </c>
    </row>
    <row r="63" ht="18.75" customHeight="1" spans="15:45">
      <c r="O63" s="42"/>
      <c r="T63" s="119"/>
      <c r="U63" s="119"/>
      <c r="V63" s="119"/>
      <c r="W63" s="119"/>
      <c r="X63" s="119"/>
      <c r="Y63" s="119"/>
      <c r="Z63" s="119"/>
      <c r="AA63" s="119"/>
      <c r="AB63" s="119"/>
      <c r="AC63" s="119"/>
      <c r="AD63" s="119"/>
      <c r="AE63" s="119"/>
      <c r="AF63" s="119"/>
      <c r="AG63" s="119"/>
      <c r="AH63" s="119"/>
      <c r="AI63" s="119"/>
      <c r="AJ63" s="119"/>
      <c r="AK63" s="119"/>
      <c r="AL63" s="119"/>
      <c r="AM63" s="119"/>
      <c r="AS63" s="42">
        <v>18</v>
      </c>
    </row>
    <row r="64" ht="29.25" customHeight="1" spans="15:45">
      <c r="O64" s="42"/>
      <c r="S64" s="781"/>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22.5" hidden="1" customHeight="1" spans="1:45">
      <c r="A65" s="42" t="s">
        <v>83</v>
      </c>
      <c r="B65" s="42">
        <v>0</v>
      </c>
      <c r="C65" s="42">
        <v>0</v>
      </c>
      <c r="D65" s="42">
        <v>0</v>
      </c>
      <c r="E65" s="42">
        <v>0</v>
      </c>
      <c r="F65" s="42">
        <v>0</v>
      </c>
      <c r="G65" s="42">
        <v>0</v>
      </c>
      <c r="H65" s="42">
        <v>0</v>
      </c>
      <c r="I65" s="42">
        <v>0</v>
      </c>
      <c r="J65" s="42">
        <v>0</v>
      </c>
      <c r="K65" s="42">
        <v>0</v>
      </c>
      <c r="L65" s="85">
        <v>0</v>
      </c>
      <c r="M65" s="39">
        <v>0</v>
      </c>
      <c r="N65" s="39">
        <v>0</v>
      </c>
      <c r="O65" s="39">
        <v>0</v>
      </c>
      <c r="P65" s="39">
        <v>3</v>
      </c>
      <c r="Q65" s="40">
        <v>3</v>
      </c>
      <c r="R65" s="40">
        <v>3</v>
      </c>
      <c r="S65" s="41">
        <v>12</v>
      </c>
      <c r="T65" s="42">
        <v>31</v>
      </c>
      <c r="U65" s="42">
        <v>0</v>
      </c>
      <c r="V65" s="42">
        <v>0</v>
      </c>
      <c r="W65" s="42">
        <v>0</v>
      </c>
      <c r="X65" s="42">
        <v>0</v>
      </c>
      <c r="Y65" s="42">
        <v>0</v>
      </c>
      <c r="Z65" s="42">
        <v>0</v>
      </c>
      <c r="AA65" s="42">
        <v>0</v>
      </c>
      <c r="AB65" s="42">
        <v>0</v>
      </c>
      <c r="AC65" s="42">
        <v>0</v>
      </c>
      <c r="AD65" s="42">
        <v>24</v>
      </c>
      <c r="AE65" s="42">
        <v>0</v>
      </c>
      <c r="AF65" s="42">
        <v>24</v>
      </c>
      <c r="AG65" s="42">
        <v>24</v>
      </c>
      <c r="AH65" s="42">
        <v>11</v>
      </c>
      <c r="AI65" s="42">
        <v>3</v>
      </c>
      <c r="AJ65" s="42">
        <v>11</v>
      </c>
      <c r="AK65" s="42">
        <v>0</v>
      </c>
      <c r="AL65" s="42">
        <v>4</v>
      </c>
      <c r="AM65" s="42">
        <v>115</v>
      </c>
      <c r="AN65" s="43">
        <v>10</v>
      </c>
      <c r="AO65" s="43">
        <v>10</v>
      </c>
      <c r="AP65" s="43">
        <v>10</v>
      </c>
      <c r="AQ65" s="43">
        <v>10</v>
      </c>
      <c r="AR65" s="43">
        <v>10</v>
      </c>
      <c r="AS65" s="42">
        <v>23</v>
      </c>
    </row>
  </sheetData>
  <sheetProtection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42" hidden="1"/>
    <col min="2" max="2" width="11" style="42" hidden="1" customWidth="1"/>
    <col min="3" max="3" width="10.5714285714286" style="42" hidden="1"/>
    <col min="4" max="4" width="11.847619047619" style="42" hidden="1" customWidth="1"/>
    <col min="5" max="5" width="10" style="42" hidden="1" customWidth="1"/>
    <col min="6" max="6" width="8.71428571428571" style="42" hidden="1" customWidth="1"/>
    <col min="7" max="7" width="7.57142857142857" style="42" hidden="1" customWidth="1"/>
    <col min="8" max="8" width="11.4190476190476" style="42" hidden="1" customWidth="1"/>
    <col min="9" max="9" width="12" style="42" hidden="1" customWidth="1"/>
    <col min="10" max="10" width="9.84761904761905" style="42" hidden="1" customWidth="1"/>
    <col min="11" max="11" width="11.4190476190476" style="42" hidden="1" customWidth="1"/>
    <col min="12" max="12" width="19.1428571428571" style="85" hidden="1" customWidth="1"/>
    <col min="13" max="14" width="12.2857142857143" style="39" hidden="1" customWidth="1"/>
    <col min="15" max="15" width="23.4190476190476" style="39" hidden="1" customWidth="1"/>
    <col min="16" max="16" width="3" style="39"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99"/>
      <c r="B2" s="499"/>
      <c r="C2" s="499"/>
      <c r="D2" s="499"/>
      <c r="E2" s="1129">
        <v>1</v>
      </c>
      <c r="F2" s="499"/>
      <c r="G2" s="499"/>
      <c r="H2" s="499"/>
      <c r="I2" s="499"/>
      <c r="J2" s="499"/>
      <c r="K2" s="499"/>
      <c r="L2" s="533"/>
      <c r="M2" s="41"/>
      <c r="N2" s="41"/>
      <c r="O2" s="41"/>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99"/>
      <c r="B3" s="499"/>
      <c r="C3" s="499"/>
      <c r="D3" s="499"/>
      <c r="E3" s="1130"/>
      <c r="F3" s="1129">
        <v>1</v>
      </c>
      <c r="G3" s="499"/>
      <c r="H3" s="499"/>
      <c r="I3" s="499"/>
      <c r="J3" s="499"/>
      <c r="K3" s="499"/>
      <c r="L3" s="533"/>
      <c r="M3" s="41"/>
      <c r="N3" s="41"/>
      <c r="O3" s="41"/>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99"/>
      <c r="B4" s="499"/>
      <c r="C4" s="499"/>
      <c r="D4" s="499"/>
      <c r="E4" s="1130"/>
      <c r="F4" s="1130"/>
      <c r="G4" s="1129">
        <v>1</v>
      </c>
      <c r="H4" s="499"/>
      <c r="I4" s="499"/>
      <c r="J4" s="499"/>
      <c r="K4" s="499"/>
      <c r="L4" s="533"/>
      <c r="M4" s="41"/>
      <c r="N4" s="41"/>
      <c r="O4" s="41"/>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99"/>
      <c r="B5" s="499"/>
      <c r="C5" s="499"/>
      <c r="D5" s="499"/>
      <c r="E5" s="1130"/>
      <c r="F5" s="1130"/>
      <c r="G5" s="1130"/>
      <c r="H5" s="1129">
        <v>1</v>
      </c>
      <c r="I5" s="499"/>
      <c r="J5" s="499"/>
      <c r="K5" s="499"/>
      <c r="L5" s="533"/>
      <c r="M5" s="41"/>
      <c r="N5" s="41"/>
      <c r="O5" s="41"/>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t="47.25" hidden="1" customHeight="1" spans="1:45">
      <c r="A6" s="499"/>
      <c r="B6" s="499"/>
      <c r="C6" s="499"/>
      <c r="D6" s="499"/>
      <c r="E6" s="1130"/>
      <c r="F6" s="1130"/>
      <c r="G6" s="1130"/>
      <c r="H6" s="1130"/>
      <c r="I6" s="63" t="e">
        <f>S5&amp;".1"</f>
        <v>#N/A</v>
      </c>
      <c r="J6" s="499"/>
      <c r="K6" s="499"/>
      <c r="L6" s="533" t="s">
        <v>408</v>
      </c>
      <c r="M6" s="42"/>
      <c r="P6" s="92">
        <v>1</v>
      </c>
      <c r="Q6" s="92"/>
      <c r="R6" s="93"/>
      <c r="S6" s="64" t="e">
        <f>$I6</f>
        <v>#N/A</v>
      </c>
      <c r="T6" s="94" t="s">
        <v>409</v>
      </c>
      <c r="U6" s="83"/>
      <c r="V6" s="98"/>
      <c r="W6" s="99"/>
      <c r="X6" s="99"/>
      <c r="Y6" s="99"/>
      <c r="Z6" s="99"/>
      <c r="AA6" s="99"/>
      <c r="AB6" s="99"/>
      <c r="AC6" s="136"/>
      <c r="AD6" s="98"/>
      <c r="AE6" s="99"/>
      <c r="AF6" s="99"/>
      <c r="AG6" s="99"/>
      <c r="AH6" s="99"/>
      <c r="AI6" s="99"/>
      <c r="AJ6" s="99"/>
      <c r="AK6" s="99"/>
      <c r="AL6" s="136"/>
      <c r="AM6" s="135" t="s">
        <v>410</v>
      </c>
      <c r="AO6" s="150"/>
      <c r="AP6" s="150" t="str">
        <f t="shared" si="0"/>
        <v>Схема подключения теплопотребляющей установки к коллектору источника тепловой энергии</v>
      </c>
      <c r="AQ6" s="150"/>
      <c r="AR6" s="150"/>
      <c r="AS6" s="42">
        <v>0</v>
      </c>
    </row>
    <row r="7" ht="21" hidden="1" customHeight="1" spans="1:45">
      <c r="A7" s="499"/>
      <c r="B7" s="499"/>
      <c r="C7" s="499"/>
      <c r="D7" s="499"/>
      <c r="E7" s="1130"/>
      <c r="F7" s="1130"/>
      <c r="G7" s="1130"/>
      <c r="H7" s="1130"/>
      <c r="I7" s="125"/>
      <c r="J7" s="63" t="e">
        <f>I6&amp;".1"</f>
        <v>#N/A</v>
      </c>
      <c r="K7" s="499"/>
      <c r="L7" s="533" t="s">
        <v>411</v>
      </c>
      <c r="M7" s="42"/>
      <c r="N7" s="42"/>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99"/>
      <c r="B8" s="499"/>
      <c r="C8" s="499"/>
      <c r="D8" s="499"/>
      <c r="E8" s="1130"/>
      <c r="F8" s="1130"/>
      <c r="G8" s="1130"/>
      <c r="H8" s="1130"/>
      <c r="I8" s="125"/>
      <c r="J8" s="125"/>
      <c r="K8" s="63" t="e">
        <f>J7&amp;".1"</f>
        <v>#N/A</v>
      </c>
      <c r="L8" s="533" t="s">
        <v>414</v>
      </c>
      <c r="M8" s="42"/>
      <c r="N8" s="42"/>
      <c r="O8" s="42"/>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99"/>
      <c r="B9" s="499"/>
      <c r="C9" s="499"/>
      <c r="D9" s="499"/>
      <c r="E9" s="1130"/>
      <c r="F9" s="1130"/>
      <c r="G9" s="1130"/>
      <c r="H9" s="1130"/>
      <c r="I9" s="125"/>
      <c r="J9" s="125"/>
      <c r="K9" s="63"/>
      <c r="L9" s="533"/>
      <c r="M9" s="42"/>
      <c r="N9" s="42"/>
      <c r="O9" s="42"/>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99"/>
      <c r="B10" s="499"/>
      <c r="C10" s="499"/>
      <c r="D10" s="499"/>
      <c r="E10" s="1130"/>
      <c r="F10" s="1130"/>
      <c r="G10" s="1130"/>
      <c r="H10" s="1130"/>
      <c r="I10" s="125"/>
      <c r="J10" s="63"/>
      <c r="K10" s="499"/>
      <c r="L10" s="533"/>
      <c r="M10" s="42"/>
      <c r="N10" s="42"/>
      <c r="P10" s="92"/>
      <c r="Q10" s="92"/>
      <c r="R10" s="93"/>
      <c r="S10" s="104"/>
      <c r="T10" s="105"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99"/>
      <c r="B11" s="499"/>
      <c r="C11" s="499"/>
      <c r="D11" s="499"/>
      <c r="E11" s="1130"/>
      <c r="F11" s="1130"/>
      <c r="G11" s="1130"/>
      <c r="H11" s="1130"/>
      <c r="I11" s="63"/>
      <c r="J11" s="499"/>
      <c r="K11" s="499"/>
      <c r="L11" s="533"/>
      <c r="M11" s="42"/>
      <c r="P11" s="92"/>
      <c r="Q11" s="92"/>
      <c r="R11" s="93"/>
      <c r="S11" s="104"/>
      <c r="T11" s="107"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99"/>
      <c r="B12" s="499"/>
      <c r="C12" s="499"/>
      <c r="D12" s="499"/>
      <c r="E12" s="1130"/>
      <c r="F12" s="1130"/>
      <c r="G12" s="1130"/>
      <c r="H12" s="1129"/>
      <c r="I12" s="499"/>
      <c r="J12" s="499"/>
      <c r="K12" s="499"/>
      <c r="L12" s="533"/>
      <c r="M12" s="41"/>
      <c r="N12" s="41"/>
      <c r="O12" s="42"/>
      <c r="P12" s="80"/>
      <c r="Q12" s="108"/>
      <c r="R12" s="81"/>
      <c r="S12" s="104"/>
      <c r="T12" s="109" t="s">
        <v>418</v>
      </c>
      <c r="U12" s="106"/>
      <c r="V12" s="106"/>
      <c r="W12" s="106"/>
      <c r="X12" s="106"/>
      <c r="Y12" s="106"/>
      <c r="Z12" s="106"/>
      <c r="AA12" s="106"/>
      <c r="AB12" s="106"/>
      <c r="AC12" s="146"/>
      <c r="AD12" s="106"/>
      <c r="AE12" s="106"/>
      <c r="AF12" s="106"/>
      <c r="AG12" s="106"/>
      <c r="AH12" s="106"/>
      <c r="AI12" s="106"/>
      <c r="AJ12" s="106"/>
      <c r="AK12" s="146"/>
      <c r="AL12" s="106"/>
      <c r="AM12" s="147"/>
      <c r="AO12" s="150"/>
      <c r="AP12" s="150" t="str">
        <f t="shared" si="0"/>
        <v>Добавить схему подключения</v>
      </c>
      <c r="AQ12" s="150"/>
      <c r="AR12" s="150"/>
      <c r="AS12" s="42">
        <v>0</v>
      </c>
    </row>
    <row r="13" s="43" customFormat="1" ht="0.75" hidden="1" customHeight="1" spans="1:45">
      <c r="A13" s="499"/>
      <c r="B13" s="499"/>
      <c r="C13" s="499"/>
      <c r="D13" s="499"/>
      <c r="E13" s="1130"/>
      <c r="F13" s="1130"/>
      <c r="G13" s="1129"/>
      <c r="H13" s="499"/>
      <c r="I13" s="499"/>
      <c r="J13" s="499"/>
      <c r="K13" s="499"/>
      <c r="L13" s="533"/>
      <c r="M13" s="41"/>
      <c r="N13" s="41"/>
      <c r="O13" s="4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499"/>
      <c r="B14" s="499"/>
      <c r="C14" s="499"/>
      <c r="D14" s="499"/>
      <c r="E14" s="1130"/>
      <c r="F14" s="1129"/>
      <c r="G14" s="499"/>
      <c r="H14" s="499"/>
      <c r="I14" s="499"/>
      <c r="J14" s="499"/>
      <c r="K14" s="499"/>
      <c r="L14" s="533"/>
      <c r="M14" s="1136"/>
      <c r="N14" s="1136"/>
      <c r="O14" s="42"/>
      <c r="P14" s="151"/>
      <c r="Q14" s="1068"/>
      <c r="R14" s="151"/>
      <c r="S14" s="1070"/>
      <c r="T14" s="1154" t="s">
        <v>251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499"/>
      <c r="B15" s="499"/>
      <c r="C15" s="499"/>
      <c r="D15" s="499"/>
      <c r="E15" s="1129"/>
      <c r="F15" s="499"/>
      <c r="G15" s="499"/>
      <c r="H15" s="499"/>
      <c r="I15" s="499"/>
      <c r="J15" s="499"/>
      <c r="K15" s="499"/>
      <c r="L15" s="533"/>
      <c r="M15" s="1136"/>
      <c r="N15" s="1136"/>
      <c r="O15" s="42"/>
      <c r="P15" s="151"/>
      <c r="Q15" s="1068"/>
      <c r="R15" s="151"/>
      <c r="S15" s="1070"/>
      <c r="T15" s="1071" t="s">
        <v>252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idden="1" customHeight="1" spans="1:45">
      <c r="A20" s="42"/>
      <c r="B20" s="42"/>
      <c r="C20" s="42"/>
      <c r="D20" s="42"/>
      <c r="E20" s="42"/>
      <c r="F20" s="42"/>
      <c r="G20" s="42"/>
      <c r="H20" s="42"/>
      <c r="I20" s="42"/>
      <c r="J20" s="42"/>
      <c r="K20" s="42"/>
      <c r="L20" s="85"/>
      <c r="M20" s="39"/>
      <c r="N20" s="39"/>
      <c r="O20" s="1084" t="s">
        <v>420</v>
      </c>
      <c r="P20" s="38"/>
      <c r="Q20" s="1037"/>
      <c r="R20" s="1037"/>
      <c r="S20" s="46"/>
      <c r="Z20" s="1046"/>
      <c r="AB20" s="1046"/>
      <c r="AH20" s="1046"/>
      <c r="AJ20" s="1046"/>
      <c r="AN20" s="43"/>
      <c r="AO20" s="43"/>
      <c r="AP20" s="43"/>
      <c r="AQ20" s="43"/>
      <c r="AR20" s="43"/>
      <c r="AS20" s="37">
        <v>0</v>
      </c>
    </row>
    <row r="21" s="37" customFormat="1" hidden="1" customHeight="1" spans="1:45">
      <c r="A21" s="42"/>
      <c r="B21" s="42"/>
      <c r="C21" s="42"/>
      <c r="D21" s="42"/>
      <c r="E21" s="42"/>
      <c r="F21" s="42"/>
      <c r="G21" s="42"/>
      <c r="H21" s="42"/>
      <c r="I21" s="42"/>
      <c r="J21" s="42"/>
      <c r="K21" s="42"/>
      <c r="L21" s="85"/>
      <c r="M21" s="39"/>
      <c r="N21" s="39"/>
      <c r="O21" s="39"/>
      <c r="P21" s="38"/>
      <c r="Q21" s="1037"/>
      <c r="R21" s="1037"/>
      <c r="S21" s="46"/>
      <c r="AN21" s="43"/>
      <c r="AO21" s="43"/>
      <c r="AP21" s="43"/>
      <c r="AQ21" s="43"/>
      <c r="AR21" s="43"/>
      <c r="AS21" s="37">
        <v>0</v>
      </c>
    </row>
    <row r="22" s="37" customFormat="1" hidden="1" customHeight="1" spans="1:45">
      <c r="A22" s="42"/>
      <c r="B22" s="42"/>
      <c r="C22" s="42"/>
      <c r="D22" s="42"/>
      <c r="E22" s="42"/>
      <c r="F22" s="42"/>
      <c r="G22" s="42"/>
      <c r="H22" s="42"/>
      <c r="I22" s="42"/>
      <c r="J22" s="42"/>
      <c r="K22" s="42"/>
      <c r="L22" s="85"/>
      <c r="M22" s="39"/>
      <c r="N22" s="39"/>
      <c r="O22" s="533"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533"/>
      <c r="AS23" s="42">
        <v>0</v>
      </c>
    </row>
    <row r="24" hidden="1" customHeight="1" spans="15:45">
      <c r="O24" s="533"/>
      <c r="AS24" s="42">
        <v>0</v>
      </c>
    </row>
    <row r="25" ht="14.7" customHeight="1" spans="17:45">
      <c r="Q25" s="50"/>
      <c r="R25" s="50"/>
      <c r="S25" s="51"/>
      <c r="T25" s="52"/>
      <c r="U25" s="52"/>
      <c r="AS25" s="42">
        <v>14</v>
      </c>
    </row>
    <row r="26" ht="14.7" customHeight="1" spans="17:45">
      <c r="Q26" s="50"/>
      <c r="R26" s="50"/>
      <c r="S26" s="75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50"/>
      <c r="U26" s="750"/>
      <c r="V26" s="750"/>
      <c r="W26" s="750"/>
      <c r="X26" s="750"/>
      <c r="Y26" s="750"/>
      <c r="Z26" s="750"/>
      <c r="AA26" s="750"/>
      <c r="AB26" s="750"/>
      <c r="AC26" s="750"/>
      <c r="AD26" s="750"/>
      <c r="AE26" s="750"/>
      <c r="AF26" s="750"/>
      <c r="AG26" s="750"/>
      <c r="AH26" s="750"/>
      <c r="AI26" s="750"/>
      <c r="AJ26" s="750"/>
      <c r="AK26" s="120"/>
      <c r="AS26" s="42">
        <v>14</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hidden="1"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hidden="1" customHeight="1" spans="1:45">
      <c r="A29" s="500"/>
      <c r="B29" s="500"/>
      <c r="C29" s="500"/>
      <c r="D29" s="500"/>
      <c r="E29" s="500"/>
      <c r="F29" s="500"/>
      <c r="G29" s="500"/>
      <c r="H29" s="500"/>
      <c r="I29" s="500"/>
      <c r="J29" s="500"/>
      <c r="K29" s="500"/>
      <c r="L29" s="533"/>
      <c r="M29" s="500"/>
      <c r="N29" s="500"/>
      <c r="O29" s="500"/>
      <c r="S29" s="57" t="s">
        <v>42</v>
      </c>
      <c r="T29" s="57"/>
      <c r="U29" s="1074"/>
      <c r="V29" s="59" t="str">
        <f>IF(TITLE_NAME_OR_PR_CHANGE="",IF(TITLE_NAME_OR_PR="","",TITLE_NAME_OR_PR),TITLE_NAME_OR_PR_CHANGE)</f>
        <v>Государственный комитет РТ по тарифам</v>
      </c>
      <c r="W29" s="59"/>
      <c r="X29" s="59"/>
      <c r="Y29" s="59"/>
      <c r="Z29" s="59"/>
      <c r="AA29" s="59"/>
      <c r="AB29" s="59"/>
      <c r="AC29" s="42"/>
      <c r="AD29" s="59" t="str">
        <f>IF(TITLE_NAME_OR_PR_CHANGE="",IF(TITLE_NAME_OR_PR="","",TITLE_NAME_OR_PR),TITLE_NAME_OR_PR_CHANGE)</f>
        <v>Государственный комитет РТ по тарифам</v>
      </c>
      <c r="AE29" s="59"/>
      <c r="AF29" s="59"/>
      <c r="AG29" s="59"/>
      <c r="AH29" s="59"/>
      <c r="AI29" s="59"/>
      <c r="AJ29" s="59"/>
      <c r="AK29" s="42"/>
      <c r="AL29" s="42"/>
      <c r="AM29" s="121"/>
      <c r="AN29" s="150"/>
      <c r="AO29" s="150"/>
      <c r="AP29" s="150"/>
      <c r="AQ29" s="150"/>
      <c r="AR29" s="150"/>
      <c r="AS29" s="35">
        <v>0</v>
      </c>
    </row>
    <row r="30" s="35" customFormat="1" ht="18.75" hidden="1" customHeight="1" spans="1:45">
      <c r="A30" s="500"/>
      <c r="B30" s="500"/>
      <c r="C30" s="500"/>
      <c r="D30" s="500"/>
      <c r="E30" s="500"/>
      <c r="F30" s="500"/>
      <c r="G30" s="500"/>
      <c r="H30" s="500"/>
      <c r="I30" s="500"/>
      <c r="J30" s="500"/>
      <c r="K30" s="500"/>
      <c r="L30" s="533"/>
      <c r="M30" s="500"/>
      <c r="N30" s="500"/>
      <c r="O30" s="500"/>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hidden="1" customHeight="1" spans="1:45">
      <c r="A31" s="500"/>
      <c r="B31" s="500"/>
      <c r="C31" s="500"/>
      <c r="D31" s="500"/>
      <c r="E31" s="500"/>
      <c r="F31" s="500"/>
      <c r="G31" s="500"/>
      <c r="H31" s="500"/>
      <c r="I31" s="500"/>
      <c r="J31" s="500"/>
      <c r="K31" s="500"/>
      <c r="L31" s="533"/>
      <c r="M31" s="500"/>
      <c r="N31" s="500"/>
      <c r="O31" s="500"/>
      <c r="S31" s="57" t="s">
        <v>427</v>
      </c>
      <c r="T31" s="57"/>
      <c r="U31" s="1074"/>
      <c r="V31" s="59" t="str">
        <f>IF(TITLE_NUMBER_PR_CHANGE="",IF(TITLE_NUMBER_PR="","",TITLE_NUMBER_PR),TITLE_NUMBER_PR_CHANGE)</f>
        <v>108-73/тп-2024</v>
      </c>
      <c r="W31" s="59"/>
      <c r="X31" s="59"/>
      <c r="Y31" s="59"/>
      <c r="Z31" s="59"/>
      <c r="AA31" s="59"/>
      <c r="AB31" s="59"/>
      <c r="AC31" s="42"/>
      <c r="AD31" s="59" t="str">
        <f>IF(TITLE_NUMBER_PR_CHANGE="",IF(TITLE_NUMBER_PR="","",TITLE_NUMBER_PR),TITLE_NUMBER_PR_CHANGE)</f>
        <v>108-73/тп-2024</v>
      </c>
      <c r="AE31" s="59"/>
      <c r="AF31" s="59"/>
      <c r="AG31" s="59"/>
      <c r="AH31" s="59"/>
      <c r="AI31" s="59"/>
      <c r="AJ31" s="59"/>
      <c r="AK31" s="42"/>
      <c r="AL31" s="42"/>
      <c r="AM31" s="121"/>
      <c r="AN31" s="150"/>
      <c r="AO31" s="150"/>
      <c r="AP31" s="150"/>
      <c r="AQ31" s="150"/>
      <c r="AR31" s="150"/>
      <c r="AS31" s="35">
        <v>0</v>
      </c>
    </row>
    <row r="32" s="35" customFormat="1" ht="18.75" hidden="1" customHeight="1" spans="1:45">
      <c r="A32" s="500"/>
      <c r="B32" s="500"/>
      <c r="C32" s="500"/>
      <c r="D32" s="500"/>
      <c r="E32" s="500"/>
      <c r="F32" s="500"/>
      <c r="G32" s="500"/>
      <c r="H32" s="500"/>
      <c r="I32" s="500"/>
      <c r="J32" s="500"/>
      <c r="K32" s="500"/>
      <c r="L32" s="533"/>
      <c r="M32" s="500"/>
      <c r="N32" s="500"/>
      <c r="O32" s="500"/>
      <c r="S32" s="57" t="s">
        <v>44</v>
      </c>
      <c r="T32" s="57"/>
      <c r="U32" s="1074"/>
      <c r="V32" s="59" t="str">
        <f>IF(TITLE_IST_PUB_CHANGE="",IF(TITLE_IST_PUB="","",TITLE_IST_PUB),TITLE_IST_PUB_CHANGE)</f>
        <v>"Официальный портал правовой информации
Республики Татарстан"</v>
      </c>
      <c r="W32" s="59"/>
      <c r="X32" s="59"/>
      <c r="Y32" s="59"/>
      <c r="Z32" s="59"/>
      <c r="AA32" s="59"/>
      <c r="AB32" s="59"/>
      <c r="AC32" s="42"/>
      <c r="AD32" s="59" t="str">
        <f>IF(TITLE_IST_PUB_CHANGE="",IF(TITLE_IST_PUB="","",TITLE_IST_PUB),TITLE_IST_PUB_CHANGE)</f>
        <v>"Официальный портал правовой информации
Республики Татарстан"</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500"/>
      <c r="B34" s="500"/>
      <c r="C34" s="500"/>
      <c r="D34" s="500"/>
      <c r="E34" s="500"/>
      <c r="F34" s="500"/>
      <c r="G34" s="500"/>
      <c r="H34" s="500"/>
      <c r="I34" s="500"/>
      <c r="J34" s="500"/>
      <c r="K34" s="500"/>
      <c r="L34" s="533"/>
      <c r="M34" s="500"/>
      <c r="N34" s="500"/>
      <c r="O34" s="500"/>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500"/>
      <c r="B35" s="500"/>
      <c r="C35" s="500"/>
      <c r="D35" s="500"/>
      <c r="E35" s="500"/>
      <c r="F35" s="500"/>
      <c r="G35" s="500"/>
      <c r="H35" s="500"/>
      <c r="I35" s="500"/>
      <c r="J35" s="500"/>
      <c r="K35" s="500"/>
      <c r="L35" s="533"/>
      <c r="M35" s="500"/>
      <c r="N35" s="500"/>
      <c r="O35" s="500"/>
      <c r="S35" s="57" t="s">
        <v>429</v>
      </c>
      <c r="T35" s="57"/>
      <c r="U35" s="1074"/>
      <c r="V35" s="59" t="str">
        <f>IF(TITLE_NUMBER_PR_CHANGE="",IF(TITLE_NUMBER_PR="","",TITLE_NUMBER_PR),TITLE_NUMBER_PR_CHANGE)</f>
        <v>108-73/тп-2024</v>
      </c>
      <c r="W35" s="59"/>
      <c r="X35" s="59"/>
      <c r="Y35" s="59"/>
      <c r="Z35" s="59"/>
      <c r="AA35" s="59"/>
      <c r="AB35" s="59"/>
      <c r="AC35" s="42"/>
      <c r="AD35" s="59" t="str">
        <f>IF(TITLE_NUMBER_PR_CHANGE="",IF(TITLE_NUMBER_PR="","",TITLE_NUMBER_PR),TITLE_NUMBER_PR_CHANGE)</f>
        <v>108-73/тп-2024</v>
      </c>
      <c r="AE35" s="59"/>
      <c r="AF35" s="59"/>
      <c r="AG35" s="59"/>
      <c r="AH35" s="59"/>
      <c r="AI35" s="59"/>
      <c r="AJ35" s="59"/>
      <c r="AK35" s="42"/>
      <c r="AL35" s="42"/>
      <c r="AM35" s="121"/>
      <c r="AN35" s="150"/>
      <c r="AO35" s="150"/>
      <c r="AP35" s="150"/>
      <c r="AQ35" s="150"/>
      <c r="AR35" s="150"/>
      <c r="AS35" s="35">
        <v>0</v>
      </c>
    </row>
    <row r="36" s="35" customFormat="1" hidden="1" customHeight="1" spans="1:45">
      <c r="A36" s="500"/>
      <c r="B36" s="500"/>
      <c r="C36" s="500"/>
      <c r="D36" s="500"/>
      <c r="E36" s="500"/>
      <c r="F36" s="500"/>
      <c r="G36" s="500"/>
      <c r="H36" s="500"/>
      <c r="I36" s="500"/>
      <c r="J36" s="500"/>
      <c r="K36" s="500"/>
      <c r="L36" s="533"/>
      <c r="M36" s="500"/>
      <c r="N36" s="500"/>
      <c r="O36" s="500"/>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t="s">
        <v>437</v>
      </c>
      <c r="X40" s="125" t="s">
        <v>438</v>
      </c>
      <c r="Y40" s="126"/>
      <c r="Z40" s="125" t="s">
        <v>451</v>
      </c>
      <c r="AA40" s="127"/>
      <c r="AB40" s="126"/>
      <c r="AC40" s="128"/>
      <c r="AD40" s="70" t="s">
        <v>436</v>
      </c>
      <c r="AE40" s="1167" t="s">
        <v>437</v>
      </c>
      <c r="AF40" s="125" t="s">
        <v>438</v>
      </c>
      <c r="AG40" s="126"/>
      <c r="AH40" s="125" t="s">
        <v>439</v>
      </c>
      <c r="AI40" s="127"/>
      <c r="AJ40" s="126"/>
      <c r="AK40" s="128"/>
      <c r="AL40" s="129"/>
      <c r="AM40" s="63"/>
      <c r="AS40" s="42">
        <v>34</v>
      </c>
    </row>
    <row r="41" ht="35.7" customHeight="1" spans="1:45">
      <c r="A41" s="500"/>
      <c r="B41" s="500" t="s">
        <v>137</v>
      </c>
      <c r="C41" s="500" t="s">
        <v>138</v>
      </c>
      <c r="D41" s="500" t="s">
        <v>139</v>
      </c>
      <c r="E41" s="533" t="s">
        <v>440</v>
      </c>
      <c r="F41" s="533" t="s">
        <v>441</v>
      </c>
      <c r="G41" s="533" t="s">
        <v>442</v>
      </c>
      <c r="H41" s="533" t="s">
        <v>443</v>
      </c>
      <c r="I41" s="533" t="s">
        <v>444</v>
      </c>
      <c r="J41" s="533" t="s">
        <v>445</v>
      </c>
      <c r="K41" s="533" t="s">
        <v>446</v>
      </c>
      <c r="L41" s="533"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500"/>
      <c r="B42" s="500"/>
      <c r="C42" s="500"/>
      <c r="D42" s="500"/>
      <c r="E42" s="500"/>
      <c r="F42" s="500"/>
      <c r="G42" s="500"/>
      <c r="H42" s="500"/>
      <c r="I42" s="500"/>
      <c r="J42" s="500"/>
      <c r="K42" s="500"/>
      <c r="L42" s="533"/>
      <c r="M42" s="39"/>
      <c r="N42" s="39"/>
      <c r="O42" s="39"/>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99" t="s">
        <v>212</v>
      </c>
      <c r="B43" s="499"/>
      <c r="C43" s="499"/>
      <c r="D43" s="499"/>
      <c r="E43" s="1129">
        <v>1</v>
      </c>
      <c r="F43" s="499"/>
      <c r="G43" s="499"/>
      <c r="H43" s="499"/>
      <c r="I43" s="499"/>
      <c r="J43" s="499"/>
      <c r="K43" s="499"/>
      <c r="L43" s="533"/>
      <c r="M43" s="41"/>
      <c r="N43" s="41"/>
      <c r="O43" s="41"/>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99" t="s">
        <v>212</v>
      </c>
      <c r="B44" s="499" t="s">
        <v>213</v>
      </c>
      <c r="C44" s="499"/>
      <c r="D44" s="499"/>
      <c r="E44" s="1130"/>
      <c r="F44" s="1129">
        <v>1</v>
      </c>
      <c r="G44" s="499"/>
      <c r="H44" s="499"/>
      <c r="I44" s="499"/>
      <c r="J44" s="499"/>
      <c r="K44" s="499"/>
      <c r="L44" s="533"/>
      <c r="M44" s="41"/>
      <c r="N44" s="41"/>
      <c r="O44" s="41"/>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99" t="s">
        <v>212</v>
      </c>
      <c r="B45" s="499" t="s">
        <v>213</v>
      </c>
      <c r="C45" s="499" t="s">
        <v>214</v>
      </c>
      <c r="D45" s="499"/>
      <c r="E45" s="1130"/>
      <c r="F45" s="1130"/>
      <c r="G45" s="1129">
        <v>1</v>
      </c>
      <c r="H45" s="499"/>
      <c r="I45" s="499"/>
      <c r="J45" s="499"/>
      <c r="K45" s="499"/>
      <c r="L45" s="533"/>
      <c r="M45" s="41"/>
      <c r="N45" s="41"/>
      <c r="O45" s="41"/>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99" t="s">
        <v>212</v>
      </c>
      <c r="B46" s="499" t="s">
        <v>213</v>
      </c>
      <c r="C46" s="499" t="s">
        <v>214</v>
      </c>
      <c r="D46" s="499" t="s">
        <v>215</v>
      </c>
      <c r="E46" s="1130"/>
      <c r="F46" s="1130"/>
      <c r="G46" s="1130"/>
      <c r="H46" s="1129">
        <v>1</v>
      </c>
      <c r="I46" s="499"/>
      <c r="J46" s="499"/>
      <c r="K46" s="499"/>
      <c r="L46" s="533"/>
      <c r="M46" s="41"/>
      <c r="N46" s="41"/>
      <c r="O46" s="41"/>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ht="49.5" customHeight="1" spans="1:45">
      <c r="A47" s="499" t="s">
        <v>212</v>
      </c>
      <c r="B47" s="499" t="s">
        <v>213</v>
      </c>
      <c r="C47" s="499" t="s">
        <v>214</v>
      </c>
      <c r="D47" s="499" t="s">
        <v>215</v>
      </c>
      <c r="E47" s="1130"/>
      <c r="F47" s="1130"/>
      <c r="G47" s="1130"/>
      <c r="H47" s="1130"/>
      <c r="I47" s="63" t="str">
        <f>S46&amp;".1"</f>
        <v>....1</v>
      </c>
      <c r="J47" s="499"/>
      <c r="K47" s="499"/>
      <c r="L47" s="533" t="s">
        <v>408</v>
      </c>
      <c r="P47" s="92">
        <v>1</v>
      </c>
      <c r="Q47" s="92"/>
      <c r="R47" s="93"/>
      <c r="S47" s="64" t="str">
        <f>$I47</f>
        <v>....1</v>
      </c>
      <c r="T47" s="94" t="s">
        <v>409</v>
      </c>
      <c r="U47" s="83"/>
      <c r="V47" s="98"/>
      <c r="W47" s="99"/>
      <c r="X47" s="99"/>
      <c r="Y47" s="99"/>
      <c r="Z47" s="99"/>
      <c r="AA47" s="99"/>
      <c r="AB47" s="99"/>
      <c r="AC47" s="136"/>
      <c r="AD47" s="98"/>
      <c r="AE47" s="99"/>
      <c r="AF47" s="99"/>
      <c r="AG47" s="99"/>
      <c r="AH47" s="99"/>
      <c r="AI47" s="99"/>
      <c r="AJ47" s="99"/>
      <c r="AK47" s="99"/>
      <c r="AL47" s="136"/>
      <c r="AM47" s="135" t="s">
        <v>410</v>
      </c>
      <c r="AO47" s="150"/>
      <c r="AP47" s="150" t="str">
        <f t="shared" si="1"/>
        <v>Схема подключения теплопотребляющей установки к коллектору источника тепловой энергии</v>
      </c>
      <c r="AQ47" s="150"/>
      <c r="AR47" s="150"/>
      <c r="AS47" s="42">
        <v>47</v>
      </c>
    </row>
    <row r="48" ht="22.05" customHeight="1" spans="1:45">
      <c r="A48" s="499" t="s">
        <v>212</v>
      </c>
      <c r="B48" s="499" t="s">
        <v>213</v>
      </c>
      <c r="C48" s="499" t="s">
        <v>214</v>
      </c>
      <c r="D48" s="499" t="s">
        <v>215</v>
      </c>
      <c r="E48" s="1130"/>
      <c r="F48" s="1130"/>
      <c r="G48" s="1130"/>
      <c r="H48" s="1130"/>
      <c r="I48" s="125"/>
      <c r="J48" s="63" t="str">
        <f>I47&amp;".1"</f>
        <v>....1.1</v>
      </c>
      <c r="K48" s="499"/>
      <c r="L48" s="533" t="s">
        <v>411</v>
      </c>
      <c r="P48" s="92"/>
      <c r="Q48" s="92">
        <v>1</v>
      </c>
      <c r="R48" s="96"/>
      <c r="S48" s="64" t="str">
        <f>$J48</f>
        <v>....1.1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99" t="s">
        <v>212</v>
      </c>
      <c r="B49" s="499" t="s">
        <v>213</v>
      </c>
      <c r="C49" s="499" t="s">
        <v>214</v>
      </c>
      <c r="D49" s="499" t="s">
        <v>215</v>
      </c>
      <c r="E49" s="1130"/>
      <c r="F49" s="1130"/>
      <c r="G49" s="1130"/>
      <c r="H49" s="1130"/>
      <c r="I49" s="125"/>
      <c r="J49" s="125"/>
      <c r="K49" s="63" t="str">
        <f>J48&amp;".1"</f>
        <v>....1.1.1</v>
      </c>
      <c r="L49" s="533" t="s">
        <v>414</v>
      </c>
      <c r="P49" s="92"/>
      <c r="Q49" s="92"/>
      <c r="R49" s="96">
        <v>1</v>
      </c>
      <c r="S49" s="64" t="str">
        <f>$K49</f>
        <v>....1.1.1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415</v>
      </c>
      <c r="AN49" s="43" t="e">
        <f>STRCHECKDATE(V50:AL50)</f>
        <v>#NAME?</v>
      </c>
      <c r="AO49" s="150"/>
      <c r="AP49" s="150" t="str">
        <f t="shared" si="1"/>
        <v/>
      </c>
      <c r="AQ49" s="150"/>
      <c r="AR49" s="150"/>
      <c r="AS49" s="42">
        <v>21</v>
      </c>
    </row>
    <row r="50" ht="1.05" customHeight="1" spans="1:45">
      <c r="A50" s="499" t="s">
        <v>212</v>
      </c>
      <c r="B50" s="499" t="s">
        <v>213</v>
      </c>
      <c r="C50" s="499" t="s">
        <v>214</v>
      </c>
      <c r="D50" s="499" t="s">
        <v>215</v>
      </c>
      <c r="E50" s="1130"/>
      <c r="F50" s="1130"/>
      <c r="G50" s="1130"/>
      <c r="H50" s="1130"/>
      <c r="I50" s="125"/>
      <c r="J50" s="125"/>
      <c r="K50" s="63"/>
      <c r="L50" s="533"/>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99" t="s">
        <v>212</v>
      </c>
      <c r="B51" s="499" t="s">
        <v>213</v>
      </c>
      <c r="C51" s="499" t="s">
        <v>214</v>
      </c>
      <c r="D51" s="499" t="s">
        <v>215</v>
      </c>
      <c r="E51" s="1130"/>
      <c r="F51" s="1130"/>
      <c r="G51" s="1130"/>
      <c r="H51" s="1130"/>
      <c r="I51" s="125"/>
      <c r="J51" s="63"/>
      <c r="K51" s="499"/>
      <c r="L51" s="533"/>
      <c r="P51" s="92"/>
      <c r="Q51" s="92"/>
      <c r="R51" s="93"/>
      <c r="S51" s="104"/>
      <c r="T51" s="105"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99" t="s">
        <v>212</v>
      </c>
      <c r="B52" s="499" t="s">
        <v>213</v>
      </c>
      <c r="C52" s="499" t="s">
        <v>214</v>
      </c>
      <c r="D52" s="499" t="s">
        <v>215</v>
      </c>
      <c r="E52" s="1130"/>
      <c r="F52" s="1130"/>
      <c r="G52" s="1130"/>
      <c r="H52" s="1130"/>
      <c r="I52" s="63"/>
      <c r="J52" s="499"/>
      <c r="K52" s="499"/>
      <c r="L52" s="533"/>
      <c r="P52" s="92"/>
      <c r="Q52" s="92"/>
      <c r="R52" s="93"/>
      <c r="S52" s="104"/>
      <c r="T52" s="107"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t="14.7" customHeight="1" spans="1:45">
      <c r="A53" s="499" t="s">
        <v>212</v>
      </c>
      <c r="B53" s="499" t="s">
        <v>213</v>
      </c>
      <c r="C53" s="499" t="s">
        <v>214</v>
      </c>
      <c r="D53" s="499" t="s">
        <v>215</v>
      </c>
      <c r="E53" s="1130"/>
      <c r="F53" s="1130"/>
      <c r="G53" s="1130"/>
      <c r="H53" s="1129"/>
      <c r="I53" s="499"/>
      <c r="J53" s="499"/>
      <c r="K53" s="499"/>
      <c r="L53" s="533"/>
      <c r="M53" s="41"/>
      <c r="N53" s="41"/>
      <c r="O53" s="42"/>
      <c r="P53" s="80"/>
      <c r="Q53" s="108"/>
      <c r="R53" s="81"/>
      <c r="S53" s="104"/>
      <c r="T53" s="109" t="s">
        <v>418</v>
      </c>
      <c r="U53" s="106"/>
      <c r="V53" s="106"/>
      <c r="W53" s="106"/>
      <c r="X53" s="106"/>
      <c r="Y53" s="106"/>
      <c r="Z53" s="106"/>
      <c r="AA53" s="106"/>
      <c r="AB53" s="106"/>
      <c r="AC53" s="146"/>
      <c r="AD53" s="106"/>
      <c r="AE53" s="106"/>
      <c r="AF53" s="106"/>
      <c r="AG53" s="106"/>
      <c r="AH53" s="106"/>
      <c r="AI53" s="106"/>
      <c r="AJ53" s="106"/>
      <c r="AK53" s="146"/>
      <c r="AL53" s="106"/>
      <c r="AM53" s="147"/>
      <c r="AO53" s="150"/>
      <c r="AP53" s="150" t="str">
        <f t="shared" si="1"/>
        <v>Добавить схему подключения</v>
      </c>
      <c r="AQ53" s="150"/>
      <c r="AR53" s="150"/>
      <c r="AS53" s="42">
        <v>14</v>
      </c>
    </row>
    <row r="54" s="43" customFormat="1" ht="1.05" customHeight="1" spans="1:45">
      <c r="A54" s="499" t="s">
        <v>212</v>
      </c>
      <c r="B54" s="499" t="s">
        <v>213</v>
      </c>
      <c r="C54" s="499" t="s">
        <v>214</v>
      </c>
      <c r="D54" s="499"/>
      <c r="E54" s="1130"/>
      <c r="F54" s="1130"/>
      <c r="G54" s="1129"/>
      <c r="H54" s="499"/>
      <c r="I54" s="499"/>
      <c r="J54" s="499"/>
      <c r="K54" s="499"/>
      <c r="L54" s="533"/>
      <c r="M54" s="41"/>
      <c r="N54" s="41"/>
      <c r="O54" s="4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499" t="s">
        <v>212</v>
      </c>
      <c r="B55" s="499" t="s">
        <v>213</v>
      </c>
      <c r="C55" s="499"/>
      <c r="D55" s="499"/>
      <c r="E55" s="1130"/>
      <c r="F55" s="1129"/>
      <c r="G55" s="499"/>
      <c r="H55" s="499"/>
      <c r="I55" s="499"/>
      <c r="J55" s="499"/>
      <c r="K55" s="499"/>
      <c r="L55" s="533"/>
      <c r="M55" s="1136"/>
      <c r="N55" s="1136"/>
      <c r="O55" s="42"/>
      <c r="P55" s="151"/>
      <c r="Q55" s="1068"/>
      <c r="R55" s="151"/>
      <c r="S55" s="1070"/>
      <c r="T55" s="1071" t="s">
        <v>251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499" t="s">
        <v>212</v>
      </c>
      <c r="B56" s="499"/>
      <c r="C56" s="499"/>
      <c r="D56" s="499"/>
      <c r="E56" s="1129"/>
      <c r="F56" s="499"/>
      <c r="G56" s="499"/>
      <c r="H56" s="499"/>
      <c r="I56" s="499"/>
      <c r="J56" s="499"/>
      <c r="K56" s="499"/>
      <c r="L56" s="533"/>
      <c r="M56" s="1136"/>
      <c r="N56" s="1136"/>
      <c r="O56" s="42"/>
      <c r="P56" s="151"/>
      <c r="Q56" s="1068"/>
      <c r="R56" s="151"/>
      <c r="S56" s="1070"/>
      <c r="T56" s="1071" t="s">
        <v>252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499"/>
      <c r="B57" s="499"/>
      <c r="C57" s="499"/>
      <c r="D57" s="499"/>
      <c r="E57" s="499"/>
      <c r="F57" s="499"/>
      <c r="G57" s="499"/>
      <c r="H57" s="499"/>
      <c r="I57" s="499"/>
      <c r="J57" s="499"/>
      <c r="K57" s="499"/>
      <c r="L57" s="533"/>
      <c r="M57" s="1136"/>
      <c r="N57" s="1136"/>
      <c r="O57" s="42"/>
      <c r="P57" s="151"/>
      <c r="Q57" s="1068"/>
      <c r="R57" s="151"/>
      <c r="S57" s="1070"/>
      <c r="T57" s="1071" t="s">
        <v>253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42"/>
      <c r="N58" s="42"/>
      <c r="O58" s="42"/>
      <c r="P58" s="42"/>
      <c r="Q58" s="42"/>
      <c r="R58" s="42"/>
      <c r="S58" s="42"/>
      <c r="AN58" s="42"/>
      <c r="AO58" s="42"/>
      <c r="AP58" s="42"/>
      <c r="AQ58" s="42"/>
      <c r="AR58" s="42"/>
      <c r="AS58" s="42">
        <v>11</v>
      </c>
    </row>
    <row r="59" ht="28.5" customHeight="1" spans="15:45">
      <c r="O59" s="42"/>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27</v>
      </c>
    </row>
    <row r="60" ht="65.25" customHeight="1" spans="15:45">
      <c r="O60" s="42"/>
      <c r="T60" s="119"/>
      <c r="U60" s="119"/>
      <c r="V60" s="119"/>
      <c r="W60" s="119"/>
      <c r="X60" s="119"/>
      <c r="Y60" s="119"/>
      <c r="Z60" s="119"/>
      <c r="AA60" s="119"/>
      <c r="AB60" s="119"/>
      <c r="AC60" s="119"/>
      <c r="AD60" s="119"/>
      <c r="AE60" s="119"/>
      <c r="AF60" s="119"/>
      <c r="AG60" s="119"/>
      <c r="AH60" s="119"/>
      <c r="AI60" s="119"/>
      <c r="AJ60" s="119"/>
      <c r="AK60" s="119"/>
      <c r="AL60" s="119"/>
      <c r="AM60" s="119"/>
      <c r="AS60" s="42">
        <v>62</v>
      </c>
    </row>
    <row r="61" ht="14.7" customHeight="1" spans="15:45">
      <c r="O61" s="42"/>
      <c r="AS61" s="42">
        <v>14</v>
      </c>
    </row>
    <row r="62" ht="18.75" customHeight="1" spans="15:45">
      <c r="O62" s="42"/>
      <c r="S62" s="781"/>
      <c r="T62" s="119"/>
      <c r="U62" s="119"/>
      <c r="V62" s="119"/>
      <c r="W62" s="119"/>
      <c r="X62" s="119"/>
      <c r="Y62" s="119"/>
      <c r="Z62" s="119"/>
      <c r="AA62" s="119"/>
      <c r="AB62" s="119"/>
      <c r="AC62" s="119"/>
      <c r="AD62" s="119"/>
      <c r="AE62" s="119"/>
      <c r="AF62" s="119"/>
      <c r="AG62" s="119"/>
      <c r="AH62" s="119"/>
      <c r="AI62" s="119"/>
      <c r="AJ62" s="119"/>
      <c r="AK62" s="119"/>
      <c r="AL62" s="119"/>
      <c r="AM62" s="119"/>
      <c r="AS62" s="42">
        <v>18</v>
      </c>
    </row>
    <row r="63" ht="18.75" customHeight="1" spans="15:45">
      <c r="O63" s="42"/>
      <c r="T63" s="119"/>
      <c r="U63" s="119"/>
      <c r="V63" s="119"/>
      <c r="W63" s="119"/>
      <c r="X63" s="119"/>
      <c r="Y63" s="119"/>
      <c r="Z63" s="119"/>
      <c r="AA63" s="119"/>
      <c r="AB63" s="119"/>
      <c r="AC63" s="119"/>
      <c r="AD63" s="119"/>
      <c r="AE63" s="119"/>
      <c r="AF63" s="119"/>
      <c r="AG63" s="119"/>
      <c r="AH63" s="119"/>
      <c r="AI63" s="119"/>
      <c r="AJ63" s="119"/>
      <c r="AK63" s="119"/>
      <c r="AL63" s="119"/>
      <c r="AM63" s="119"/>
      <c r="AS63" s="42">
        <v>18</v>
      </c>
    </row>
    <row r="64" ht="29.25" customHeight="1" spans="15:45">
      <c r="O64" s="42"/>
      <c r="S64" s="781"/>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22.5" hidden="1" customHeight="1" spans="1:45">
      <c r="A65" s="42" t="s">
        <v>83</v>
      </c>
      <c r="B65" s="42">
        <v>0</v>
      </c>
      <c r="C65" s="42">
        <v>0</v>
      </c>
      <c r="D65" s="42">
        <v>0</v>
      </c>
      <c r="E65" s="42">
        <v>0</v>
      </c>
      <c r="F65" s="42">
        <v>0</v>
      </c>
      <c r="G65" s="42">
        <v>0</v>
      </c>
      <c r="H65" s="42">
        <v>0</v>
      </c>
      <c r="I65" s="42">
        <v>0</v>
      </c>
      <c r="J65" s="42">
        <v>0</v>
      </c>
      <c r="K65" s="42">
        <v>0</v>
      </c>
      <c r="L65" s="85">
        <v>0</v>
      </c>
      <c r="M65" s="39">
        <v>0</v>
      </c>
      <c r="N65" s="39">
        <v>0</v>
      </c>
      <c r="O65" s="39">
        <v>0</v>
      </c>
      <c r="P65" s="39">
        <v>3</v>
      </c>
      <c r="Q65" s="40">
        <v>3</v>
      </c>
      <c r="R65" s="40">
        <v>3</v>
      </c>
      <c r="S65" s="41">
        <v>12</v>
      </c>
      <c r="T65" s="42">
        <v>31</v>
      </c>
      <c r="U65" s="42">
        <v>0</v>
      </c>
      <c r="V65" s="42">
        <v>0</v>
      </c>
      <c r="W65" s="42">
        <v>0</v>
      </c>
      <c r="X65" s="42">
        <v>0</v>
      </c>
      <c r="Y65" s="42">
        <v>0</v>
      </c>
      <c r="Z65" s="42">
        <v>0</v>
      </c>
      <c r="AA65" s="42">
        <v>0</v>
      </c>
      <c r="AB65" s="42">
        <v>0</v>
      </c>
      <c r="AC65" s="42">
        <v>0</v>
      </c>
      <c r="AD65" s="42">
        <v>24</v>
      </c>
      <c r="AE65" s="42">
        <v>0</v>
      </c>
      <c r="AF65" s="42">
        <v>24</v>
      </c>
      <c r="AG65" s="42">
        <v>24</v>
      </c>
      <c r="AH65" s="42">
        <v>11</v>
      </c>
      <c r="AI65" s="42">
        <v>3</v>
      </c>
      <c r="AJ65" s="42">
        <v>11</v>
      </c>
      <c r="AK65" s="42">
        <v>0</v>
      </c>
      <c r="AL65" s="42">
        <v>4</v>
      </c>
      <c r="AM65" s="42">
        <v>115</v>
      </c>
      <c r="AN65" s="43">
        <v>10</v>
      </c>
      <c r="AO65" s="43">
        <v>10</v>
      </c>
      <c r="AP65" s="43">
        <v>10</v>
      </c>
      <c r="AQ65" s="43">
        <v>10</v>
      </c>
      <c r="AR65" s="43">
        <v>10</v>
      </c>
      <c r="AS65" s="42">
        <v>23</v>
      </c>
    </row>
  </sheetData>
  <sheetProtection insertRows="0" deleteColumns="0" deleteRows="0" sort="0" autoFilter="0"/>
  <mergeCells count="112">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5"/>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1" style="42" customWidth="1"/>
    <col min="21" max="21" width="0.714285714285714" style="42" hidden="1" customWidth="1"/>
    <col min="22" max="22" width="1.71428571428571" style="42" hidden="1" customWidth="1"/>
    <col min="23" max="23" width="24.7142857142857" style="42" hidden="1" customWidth="1"/>
    <col min="24" max="25" width="0.142857142857143"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0.142857142857143" style="42" customWidth="1"/>
    <col min="31" max="31" width="24" style="42" customWidth="1"/>
    <col min="32" max="33" width="0.142857142857143"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t="47.25" hidden="1" customHeight="1" spans="1:45">
      <c r="A6" s="45"/>
      <c r="B6" s="45"/>
      <c r="C6" s="45"/>
      <c r="D6" s="45"/>
      <c r="E6" s="1039"/>
      <c r="F6" s="1039"/>
      <c r="G6" s="1039"/>
      <c r="H6" s="1039"/>
      <c r="I6" s="228" t="e">
        <f>S5&amp;".1"</f>
        <v>#N/A</v>
      </c>
      <c r="J6" s="45"/>
      <c r="K6" s="45"/>
      <c r="L6" s="1040" t="s">
        <v>408</v>
      </c>
      <c r="M6" s="37"/>
      <c r="P6" s="92">
        <v>1</v>
      </c>
      <c r="Q6" s="92"/>
      <c r="R6" s="93"/>
      <c r="S6" s="64" t="e">
        <f>$I6</f>
        <v>#N/A</v>
      </c>
      <c r="T6" s="94" t="s">
        <v>409</v>
      </c>
      <c r="U6" s="83"/>
      <c r="V6" s="98"/>
      <c r="W6" s="99"/>
      <c r="X6" s="99"/>
      <c r="Y6" s="99"/>
      <c r="Z6" s="99"/>
      <c r="AA6" s="99"/>
      <c r="AB6" s="99"/>
      <c r="AC6" s="136"/>
      <c r="AD6" s="98"/>
      <c r="AE6" s="99"/>
      <c r="AF6" s="99"/>
      <c r="AG6" s="99"/>
      <c r="AH6" s="99"/>
      <c r="AI6" s="99"/>
      <c r="AJ6" s="99"/>
      <c r="AK6" s="99"/>
      <c r="AL6" s="136"/>
      <c r="AM6" s="135" t="s">
        <v>410</v>
      </c>
      <c r="AO6" s="150"/>
      <c r="AP6" s="150" t="str">
        <f t="shared" si="0"/>
        <v>Схема подключения теплопотребляющей установки к коллектору источника тепловой энергии</v>
      </c>
      <c r="AQ6" s="150"/>
      <c r="AR6" s="150"/>
      <c r="AS6" s="42">
        <v>0</v>
      </c>
    </row>
    <row r="7" ht="21" hidden="1" customHeight="1" spans="1:45">
      <c r="A7" s="45"/>
      <c r="B7" s="45"/>
      <c r="C7" s="45"/>
      <c r="D7" s="45"/>
      <c r="E7" s="1039"/>
      <c r="F7" s="1039"/>
      <c r="G7" s="1039"/>
      <c r="H7" s="1039"/>
      <c r="I7" s="1044"/>
      <c r="J7" s="228" t="e">
        <f>I6&amp;".1"</f>
        <v>#N/A</v>
      </c>
      <c r="K7" s="45"/>
      <c r="L7" s="1040" t="s">
        <v>411</v>
      </c>
      <c r="M7" s="37"/>
      <c r="N7" s="37"/>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5"/>
      <c r="B8" s="45"/>
      <c r="C8" s="45"/>
      <c r="D8" s="45"/>
      <c r="E8" s="1039"/>
      <c r="F8" s="1039"/>
      <c r="G8" s="1039"/>
      <c r="H8" s="1039"/>
      <c r="I8" s="1044"/>
      <c r="J8" s="1044"/>
      <c r="K8" s="228" t="e">
        <f>J7&amp;".1"</f>
        <v>#N/A</v>
      </c>
      <c r="L8" s="1040" t="s">
        <v>414</v>
      </c>
      <c r="M8" s="37"/>
      <c r="N8" s="37"/>
      <c r="O8" s="37"/>
      <c r="P8" s="92"/>
      <c r="Q8" s="92"/>
      <c r="R8" s="96">
        <v>1</v>
      </c>
      <c r="S8" s="64" t="e">
        <f>$K8</f>
        <v>#N/A</v>
      </c>
      <c r="T8" s="100"/>
      <c r="U8" s="83"/>
      <c r="V8" s="102"/>
      <c r="W8" s="101"/>
      <c r="X8" s="102"/>
      <c r="Y8" s="1105"/>
      <c r="Z8" s="138"/>
      <c r="AA8" s="139" t="s">
        <v>62</v>
      </c>
      <c r="AB8" s="138"/>
      <c r="AC8" s="139" t="s">
        <v>62</v>
      </c>
      <c r="AD8" s="102"/>
      <c r="AE8" s="101"/>
      <c r="AF8" s="102"/>
      <c r="AG8" s="1105"/>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5"/>
      <c r="B10" s="45"/>
      <c r="C10" s="45"/>
      <c r="D10" s="45"/>
      <c r="E10" s="1039"/>
      <c r="F10" s="1039"/>
      <c r="G10" s="1039"/>
      <c r="H10" s="1039"/>
      <c r="I10" s="1044"/>
      <c r="J10" s="228"/>
      <c r="K10" s="45"/>
      <c r="L10" s="1040"/>
      <c r="M10" s="37"/>
      <c r="N10" s="37"/>
      <c r="P10" s="92"/>
      <c r="Q10" s="92"/>
      <c r="R10" s="93"/>
      <c r="S10" s="104"/>
      <c r="T10" s="105"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5"/>
      <c r="B11" s="45"/>
      <c r="C11" s="45"/>
      <c r="D11" s="45"/>
      <c r="E11" s="1039"/>
      <c r="F11" s="1039"/>
      <c r="G11" s="1039"/>
      <c r="H11" s="1039"/>
      <c r="I11" s="228"/>
      <c r="J11" s="45"/>
      <c r="K11" s="45"/>
      <c r="L11" s="1040"/>
      <c r="M11" s="37"/>
      <c r="P11" s="92"/>
      <c r="Q11" s="92"/>
      <c r="R11" s="93"/>
      <c r="S11" s="104"/>
      <c r="T11" s="107"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5"/>
      <c r="B12" s="45"/>
      <c r="C12" s="45"/>
      <c r="D12" s="45"/>
      <c r="E12" s="1039"/>
      <c r="F12" s="1039"/>
      <c r="G12" s="1039"/>
      <c r="H12" s="1038"/>
      <c r="I12" s="45"/>
      <c r="J12" s="45"/>
      <c r="K12" s="45"/>
      <c r="L12" s="1040"/>
      <c r="M12" s="46"/>
      <c r="N12" s="46"/>
      <c r="O12" s="37"/>
      <c r="P12" s="80"/>
      <c r="Q12" s="108"/>
      <c r="R12" s="81"/>
      <c r="S12" s="104"/>
      <c r="T12" s="109" t="s">
        <v>418</v>
      </c>
      <c r="U12" s="106"/>
      <c r="V12" s="106"/>
      <c r="W12" s="106"/>
      <c r="X12" s="106"/>
      <c r="Y12" s="106"/>
      <c r="Z12" s="106"/>
      <c r="AA12" s="106"/>
      <c r="AB12" s="106"/>
      <c r="AC12" s="146"/>
      <c r="AD12" s="106"/>
      <c r="AE12" s="106"/>
      <c r="AF12" s="106"/>
      <c r="AG12" s="106"/>
      <c r="AH12" s="106"/>
      <c r="AI12" s="106"/>
      <c r="AJ12" s="106"/>
      <c r="AK12" s="146"/>
      <c r="AL12" s="106"/>
      <c r="AM12" s="147"/>
      <c r="AO12" s="150"/>
      <c r="AP12" s="150" t="str">
        <f t="shared" si="0"/>
        <v>Добавить схему подключения</v>
      </c>
      <c r="AQ12" s="150"/>
      <c r="AR12" s="150"/>
      <c r="AS12" s="42">
        <v>0</v>
      </c>
    </row>
    <row r="13" s="43" customFormat="1" ht="0.75"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587"/>
      <c r="B14" s="587"/>
      <c r="C14" s="587"/>
      <c r="D14" s="587"/>
      <c r="E14" s="1039"/>
      <c r="F14" s="1038"/>
      <c r="G14" s="587"/>
      <c r="H14" s="587"/>
      <c r="I14" s="587"/>
      <c r="J14" s="587"/>
      <c r="K14" s="587"/>
      <c r="L14" s="608"/>
      <c r="M14" s="1045"/>
      <c r="N14" s="1045"/>
      <c r="P14" s="151"/>
      <c r="Q14" s="1068"/>
      <c r="R14" s="151"/>
      <c r="S14" s="1070"/>
      <c r="T14" s="1154" t="s">
        <v>251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587"/>
      <c r="B15" s="587"/>
      <c r="C15" s="587"/>
      <c r="D15" s="587"/>
      <c r="E15" s="1038"/>
      <c r="F15" s="587"/>
      <c r="G15" s="587"/>
      <c r="H15" s="587"/>
      <c r="I15" s="587"/>
      <c r="J15" s="587"/>
      <c r="K15" s="587"/>
      <c r="L15" s="608"/>
      <c r="M15" s="1045"/>
      <c r="N15" s="1045"/>
      <c r="P15" s="151"/>
      <c r="Q15" s="1068"/>
      <c r="R15" s="151"/>
      <c r="S15" s="1070"/>
      <c r="T15" s="1071" t="s">
        <v>252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t="33.75"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29.25" customHeight="1" spans="17:45">
      <c r="Q26" s="50"/>
      <c r="R26" s="50"/>
      <c r="S26" s="75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50"/>
      <c r="U26" s="750"/>
      <c r="V26" s="750"/>
      <c r="W26" s="750"/>
      <c r="X26" s="750"/>
      <c r="Y26" s="750"/>
      <c r="Z26" s="750"/>
      <c r="AA26" s="750"/>
      <c r="AB26" s="750"/>
      <c r="AC26" s="750"/>
      <c r="AD26" s="750"/>
      <c r="AE26" s="750"/>
      <c r="AF26" s="750"/>
      <c r="AG26" s="750"/>
      <c r="AH26" s="750"/>
      <c r="AI26" s="750"/>
      <c r="AJ26" s="750"/>
      <c r="AK26" s="120"/>
      <c r="AS26" s="42">
        <v>28</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РТ по тарифам</v>
      </c>
      <c r="W29" s="59"/>
      <c r="X29" s="59"/>
      <c r="Y29" s="59"/>
      <c r="Z29" s="59"/>
      <c r="AA29" s="59"/>
      <c r="AB29" s="59"/>
      <c r="AC29" s="42"/>
      <c r="AD29" s="59" t="str">
        <f>IF(TITLE_NAME_OR_PR_CHANGE="",IF(TITLE_NAME_OR_PR="","",TITLE_NAME_OR_PR),TITLE_NAME_OR_PR_CHANGE)</f>
        <v>Государственный комитет РТ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108-73/тп-2024</v>
      </c>
      <c r="W31" s="59"/>
      <c r="X31" s="59"/>
      <c r="Y31" s="59"/>
      <c r="Z31" s="59"/>
      <c r="AA31" s="59"/>
      <c r="AB31" s="59"/>
      <c r="AC31" s="42"/>
      <c r="AD31" s="59" t="str">
        <f>IF(TITLE_NUMBER_PR_CHANGE="",IF(TITLE_NUMBER_PR="","",TITLE_NUMBER_PR),TITLE_NUMBER_PR_CHANGE)</f>
        <v>108-73/тп-2024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
Республики Татарстан"</v>
      </c>
      <c r="W32" s="59"/>
      <c r="X32" s="59"/>
      <c r="Y32" s="59"/>
      <c r="Z32" s="59"/>
      <c r="AA32" s="59"/>
      <c r="AB32" s="59"/>
      <c r="AC32" s="42"/>
      <c r="AD32" s="59" t="str">
        <f>IF(TITLE_IST_PUB_CHANGE="",IF(TITLE_IST_PUB="","",TITLE_IST_PUB),TITLE_IST_PUB_CHANGE)</f>
        <v>"Официальный портал правовой информации
Республики Татарстан"</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108-73/тп-2024</v>
      </c>
      <c r="W35" s="59"/>
      <c r="X35" s="59"/>
      <c r="Y35" s="59"/>
      <c r="Z35" s="59"/>
      <c r="AA35" s="59"/>
      <c r="AB35" s="59"/>
      <c r="AC35" s="42"/>
      <c r="AD35" s="59" t="str">
        <f>IF(TITLE_NUMBER_PR_CHANGE="",IF(TITLE_NUMBER_PR="","",TITLE_NUMBER_PR),TITLE_NUMBER_PR_CHANGE)</f>
        <v>108-73/тп-2024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1085"/>
      <c r="Y39" s="1085"/>
      <c r="Z39" s="68"/>
      <c r="AA39" s="68"/>
      <c r="AB39" s="122"/>
      <c r="AC39" s="123" t="s">
        <v>433</v>
      </c>
      <c r="AD39" s="67" t="s">
        <v>432</v>
      </c>
      <c r="AE39" s="68"/>
      <c r="AF39" s="1085"/>
      <c r="AG39" s="1085"/>
      <c r="AH39" s="68"/>
      <c r="AI39" s="68"/>
      <c r="AJ39" s="122"/>
      <c r="AK39" s="123" t="s">
        <v>434</v>
      </c>
      <c r="AL39" s="124" t="s">
        <v>435</v>
      </c>
      <c r="AM39" s="63"/>
      <c r="AS39" s="42">
        <v>14</v>
      </c>
    </row>
    <row r="40" ht="24" customHeight="1" spans="17:45">
      <c r="Q40" s="50"/>
      <c r="R40" s="50"/>
      <c r="S40" s="64"/>
      <c r="T40" s="65"/>
      <c r="U40" s="69"/>
      <c r="V40" s="1031" t="s">
        <v>436</v>
      </c>
      <c r="W40" s="892" t="s">
        <v>437</v>
      </c>
      <c r="X40" s="393" t="s">
        <v>438</v>
      </c>
      <c r="Y40" s="393"/>
      <c r="Z40" s="127" t="s">
        <v>439</v>
      </c>
      <c r="AA40" s="127"/>
      <c r="AB40" s="126"/>
      <c r="AC40" s="128"/>
      <c r="AD40" s="1031" t="s">
        <v>436</v>
      </c>
      <c r="AE40" s="892" t="s">
        <v>437</v>
      </c>
      <c r="AF40" s="393" t="s">
        <v>438</v>
      </c>
      <c r="AG40" s="393"/>
      <c r="AH40" s="127" t="s">
        <v>439</v>
      </c>
      <c r="AI40" s="127"/>
      <c r="AJ40" s="126"/>
      <c r="AK40" s="128"/>
      <c r="AL40" s="129"/>
      <c r="AM40" s="63"/>
      <c r="AS40" s="42">
        <v>23</v>
      </c>
    </row>
    <row r="41" s="500" customFormat="1" ht="24"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M41" s="38"/>
      <c r="N41" s="38"/>
      <c r="O41" s="38"/>
      <c r="P41" s="39"/>
      <c r="Q41" s="50"/>
      <c r="R41" s="50"/>
      <c r="S41" s="64"/>
      <c r="T41" s="65"/>
      <c r="U41" s="71"/>
      <c r="V41" s="620"/>
      <c r="W41" s="896"/>
      <c r="X41" s="672" t="s">
        <v>447</v>
      </c>
      <c r="Y41" s="672" t="s">
        <v>448</v>
      </c>
      <c r="Z41" s="132" t="s">
        <v>449</v>
      </c>
      <c r="AA41" s="131" t="s">
        <v>450</v>
      </c>
      <c r="AB41" s="132"/>
      <c r="AC41" s="133"/>
      <c r="AD41" s="620"/>
      <c r="AE41" s="896"/>
      <c r="AF41" s="672" t="s">
        <v>447</v>
      </c>
      <c r="AG41" s="672" t="s">
        <v>448</v>
      </c>
      <c r="AH41" s="132" t="s">
        <v>449</v>
      </c>
      <c r="AI41" s="131" t="s">
        <v>450</v>
      </c>
      <c r="AJ41" s="132"/>
      <c r="AK41" s="133"/>
      <c r="AL41" s="134"/>
      <c r="AM41" s="63"/>
      <c r="AN41" s="43"/>
      <c r="AO41" s="150"/>
      <c r="AP41" s="150"/>
      <c r="AQ41" s="150"/>
      <c r="AR41" s="150"/>
      <c r="AS41" s="500">
        <v>23</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1128">
        <f ca="1">OFFSET(X42,0,-1)+1</f>
        <v>1</v>
      </c>
      <c r="Y42" s="1128">
        <f ca="1">OFFSET(Y42,0,-1)+1</f>
        <v>2</v>
      </c>
      <c r="Z42" s="79">
        <f ca="1">OFFSET(Z42,0,-1)+1</f>
        <v>3</v>
      </c>
      <c r="AA42" s="79">
        <f ca="1">OFFSET(AA42,0,-1)+1</f>
        <v>4</v>
      </c>
      <c r="AB42" s="79"/>
      <c r="AC42" s="79">
        <f ca="1">OFFSET(AC42,0,-2)+1</f>
        <v>5</v>
      </c>
      <c r="AD42" s="79">
        <f ca="1">OFFSET(AD42,0,-1)+1</f>
        <v>6</v>
      </c>
      <c r="AE42" s="79"/>
      <c r="AF42" s="1128">
        <f ca="1">OFFSET(AF42,0,-1)+1</f>
        <v>1</v>
      </c>
      <c r="AG42" s="1128">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5" t="s">
        <v>194</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5" t="s">
        <v>194</v>
      </c>
      <c r="B44" s="45" t="s">
        <v>195</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5" t="s">
        <v>194</v>
      </c>
      <c r="B45" s="45" t="s">
        <v>195</v>
      </c>
      <c r="C45" s="45" t="s">
        <v>196</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5" t="s">
        <v>194</v>
      </c>
      <c r="B46" s="45" t="s">
        <v>195</v>
      </c>
      <c r="C46" s="45" t="s">
        <v>196</v>
      </c>
      <c r="D46" s="45" t="s">
        <v>197</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ht="49.5" customHeight="1" spans="1:45">
      <c r="A47" s="45" t="s">
        <v>194</v>
      </c>
      <c r="B47" s="45" t="s">
        <v>195</v>
      </c>
      <c r="C47" s="45" t="s">
        <v>196</v>
      </c>
      <c r="D47" s="45" t="s">
        <v>197</v>
      </c>
      <c r="E47" s="1039"/>
      <c r="F47" s="1039"/>
      <c r="G47" s="1039"/>
      <c r="H47" s="1039"/>
      <c r="I47" s="228" t="str">
        <f>S46&amp;".1"</f>
        <v>....1</v>
      </c>
      <c r="J47" s="45"/>
      <c r="K47" s="45"/>
      <c r="L47" s="1040" t="s">
        <v>408</v>
      </c>
      <c r="P47" s="92">
        <v>1</v>
      </c>
      <c r="Q47" s="92"/>
      <c r="R47" s="93"/>
      <c r="S47" s="64" t="str">
        <f>$I47</f>
        <v>....1</v>
      </c>
      <c r="T47" s="94" t="s">
        <v>409</v>
      </c>
      <c r="U47" s="83"/>
      <c r="V47" s="98"/>
      <c r="W47" s="99"/>
      <c r="X47" s="99"/>
      <c r="Y47" s="99"/>
      <c r="Z47" s="99"/>
      <c r="AA47" s="99"/>
      <c r="AB47" s="99"/>
      <c r="AC47" s="136"/>
      <c r="AD47" s="98"/>
      <c r="AE47" s="99"/>
      <c r="AF47" s="99"/>
      <c r="AG47" s="99"/>
      <c r="AH47" s="99"/>
      <c r="AI47" s="99"/>
      <c r="AJ47" s="99"/>
      <c r="AK47" s="99"/>
      <c r="AL47" s="136"/>
      <c r="AM47" s="135" t="s">
        <v>410</v>
      </c>
      <c r="AO47" s="150"/>
      <c r="AP47" s="150" t="str">
        <f t="shared" si="1"/>
        <v>Схема подключения теплопотребляющей установки к коллектору источника тепловой энергии</v>
      </c>
      <c r="AQ47" s="150"/>
      <c r="AR47" s="150"/>
      <c r="AS47" s="42">
        <v>47</v>
      </c>
    </row>
    <row r="48" ht="22.05" customHeight="1" spans="1:45">
      <c r="A48" s="45" t="s">
        <v>194</v>
      </c>
      <c r="B48" s="45" t="s">
        <v>195</v>
      </c>
      <c r="C48" s="45" t="s">
        <v>196</v>
      </c>
      <c r="D48" s="45" t="s">
        <v>197</v>
      </c>
      <c r="E48" s="1039"/>
      <c r="F48" s="1039"/>
      <c r="G48" s="1039"/>
      <c r="H48" s="1039"/>
      <c r="I48" s="1044"/>
      <c r="J48" s="228" t="str">
        <f>I47&amp;".1"</f>
        <v>....1.1</v>
      </c>
      <c r="K48" s="45"/>
      <c r="L48" s="1040" t="s">
        <v>411</v>
      </c>
      <c r="P48" s="92"/>
      <c r="Q48" s="92">
        <v>1</v>
      </c>
      <c r="R48" s="96"/>
      <c r="S48" s="64" t="str">
        <f>$J48</f>
        <v>....1.1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5" t="s">
        <v>194</v>
      </c>
      <c r="B49" s="45" t="s">
        <v>195</v>
      </c>
      <c r="C49" s="45" t="s">
        <v>196</v>
      </c>
      <c r="D49" s="45" t="s">
        <v>197</v>
      </c>
      <c r="E49" s="1039"/>
      <c r="F49" s="1039"/>
      <c r="G49" s="1039"/>
      <c r="H49" s="1039"/>
      <c r="I49" s="1044"/>
      <c r="J49" s="1044"/>
      <c r="K49" s="228" t="str">
        <f>J48&amp;".1"</f>
        <v>....1.1.1</v>
      </c>
      <c r="L49" s="1040" t="s">
        <v>414</v>
      </c>
      <c r="P49" s="92"/>
      <c r="Q49" s="92"/>
      <c r="R49" s="96">
        <v>1</v>
      </c>
      <c r="S49" s="64" t="str">
        <f>$K49</f>
        <v>....1.1.1</v>
      </c>
      <c r="T49" s="100"/>
      <c r="U49" s="83"/>
      <c r="V49" s="102"/>
      <c r="W49" s="101"/>
      <c r="X49" s="102"/>
      <c r="Y49" s="1105"/>
      <c r="Z49" s="138"/>
      <c r="AA49" s="139" t="s">
        <v>62</v>
      </c>
      <c r="AB49" s="138"/>
      <c r="AC49" s="139" t="s">
        <v>62</v>
      </c>
      <c r="AD49" s="102"/>
      <c r="AE49" s="101"/>
      <c r="AF49" s="102"/>
      <c r="AG49" s="1105"/>
      <c r="AH49" s="138"/>
      <c r="AI49" s="139" t="s">
        <v>62</v>
      </c>
      <c r="AJ49" s="1123"/>
      <c r="AK49" s="139" t="s">
        <v>62</v>
      </c>
      <c r="AL49" s="1106"/>
      <c r="AM49" s="140" t="s">
        <v>415</v>
      </c>
      <c r="AN49" s="43" t="e">
        <f>STRCHECKDATE(V50:AL50)</f>
        <v>#NAME?</v>
      </c>
      <c r="AO49" s="150"/>
      <c r="AP49" s="150" t="str">
        <f t="shared" si="1"/>
        <v/>
      </c>
      <c r="AQ49" s="150"/>
      <c r="AR49" s="150"/>
      <c r="AS49" s="42">
        <v>21</v>
      </c>
    </row>
    <row r="50" ht="1.05" customHeight="1" spans="1:45">
      <c r="A50" s="45" t="s">
        <v>194</v>
      </c>
      <c r="B50" s="45" t="s">
        <v>195</v>
      </c>
      <c r="C50" s="45" t="s">
        <v>196</v>
      </c>
      <c r="D50" s="45" t="s">
        <v>197</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5" t="s">
        <v>194</v>
      </c>
      <c r="B51" s="45" t="s">
        <v>195</v>
      </c>
      <c r="C51" s="45" t="s">
        <v>196</v>
      </c>
      <c r="D51" s="45" t="s">
        <v>197</v>
      </c>
      <c r="E51" s="1039"/>
      <c r="F51" s="1039"/>
      <c r="G51" s="1039"/>
      <c r="H51" s="1039"/>
      <c r="I51" s="1044"/>
      <c r="J51" s="228"/>
      <c r="K51" s="45"/>
      <c r="L51" s="1040"/>
      <c r="P51" s="92"/>
      <c r="Q51" s="92"/>
      <c r="R51" s="93"/>
      <c r="S51" s="104"/>
      <c r="T51" s="105"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194</v>
      </c>
      <c r="B52" s="45" t="s">
        <v>195</v>
      </c>
      <c r="C52" s="45" t="s">
        <v>196</v>
      </c>
      <c r="D52" s="45" t="s">
        <v>197</v>
      </c>
      <c r="E52" s="1039"/>
      <c r="F52" s="1039"/>
      <c r="G52" s="1039"/>
      <c r="H52" s="1039"/>
      <c r="I52" s="228"/>
      <c r="J52" s="45"/>
      <c r="K52" s="45"/>
      <c r="L52" s="1040"/>
      <c r="P52" s="92"/>
      <c r="Q52" s="92"/>
      <c r="R52" s="93"/>
      <c r="S52" s="104"/>
      <c r="T52" s="107"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t="14.7" customHeight="1" spans="1:45">
      <c r="A53" s="45" t="s">
        <v>194</v>
      </c>
      <c r="B53" s="45" t="s">
        <v>195</v>
      </c>
      <c r="C53" s="45" t="s">
        <v>196</v>
      </c>
      <c r="D53" s="45" t="s">
        <v>197</v>
      </c>
      <c r="E53" s="1039"/>
      <c r="F53" s="1039"/>
      <c r="G53" s="1039"/>
      <c r="H53" s="1038"/>
      <c r="I53" s="45"/>
      <c r="J53" s="45"/>
      <c r="K53" s="45"/>
      <c r="L53" s="1040"/>
      <c r="M53" s="46"/>
      <c r="N53" s="46"/>
      <c r="O53" s="37"/>
      <c r="P53" s="80"/>
      <c r="Q53" s="108"/>
      <c r="R53" s="81"/>
      <c r="S53" s="104"/>
      <c r="T53" s="109" t="s">
        <v>418</v>
      </c>
      <c r="U53" s="106"/>
      <c r="V53" s="106"/>
      <c r="W53" s="106"/>
      <c r="X53" s="106"/>
      <c r="Y53" s="106"/>
      <c r="Z53" s="106"/>
      <c r="AA53" s="106"/>
      <c r="AB53" s="106"/>
      <c r="AC53" s="146"/>
      <c r="AD53" s="106"/>
      <c r="AE53" s="106"/>
      <c r="AF53" s="106"/>
      <c r="AG53" s="106"/>
      <c r="AH53" s="106"/>
      <c r="AI53" s="106"/>
      <c r="AJ53" s="106"/>
      <c r="AK53" s="146"/>
      <c r="AL53" s="106"/>
      <c r="AM53" s="147"/>
      <c r="AO53" s="150"/>
      <c r="AP53" s="150" t="str">
        <f t="shared" si="1"/>
        <v>Добавить схему подключения</v>
      </c>
      <c r="AQ53" s="150"/>
      <c r="AR53" s="150"/>
      <c r="AS53" s="42">
        <v>14</v>
      </c>
    </row>
    <row r="54" s="43" customFormat="1" ht="1.05" customHeight="1" spans="1:45">
      <c r="A54" s="587" t="s">
        <v>194</v>
      </c>
      <c r="B54" s="587" t="s">
        <v>195</v>
      </c>
      <c r="C54" s="587" t="s">
        <v>196</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587" t="s">
        <v>194</v>
      </c>
      <c r="B55" s="587" t="s">
        <v>195</v>
      </c>
      <c r="C55" s="587"/>
      <c r="D55" s="587"/>
      <c r="E55" s="1039"/>
      <c r="F55" s="1038"/>
      <c r="G55" s="587"/>
      <c r="H55" s="587"/>
      <c r="I55" s="587"/>
      <c r="J55" s="587"/>
      <c r="K55" s="587"/>
      <c r="L55" s="608"/>
      <c r="M55" s="1045"/>
      <c r="N55" s="1045"/>
      <c r="P55" s="151"/>
      <c r="Q55" s="1068"/>
      <c r="R55" s="151"/>
      <c r="S55" s="1070"/>
      <c r="T55" s="1071" t="s">
        <v>251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587" t="s">
        <v>194</v>
      </c>
      <c r="B56" s="587"/>
      <c r="C56" s="587"/>
      <c r="D56" s="587"/>
      <c r="E56" s="1038"/>
      <c r="F56" s="587"/>
      <c r="G56" s="587"/>
      <c r="H56" s="587"/>
      <c r="I56" s="587"/>
      <c r="J56" s="587"/>
      <c r="K56" s="587"/>
      <c r="L56" s="608"/>
      <c r="M56" s="1045"/>
      <c r="N56" s="1045"/>
      <c r="P56" s="151"/>
      <c r="Q56" s="1068"/>
      <c r="R56" s="151"/>
      <c r="S56" s="1070"/>
      <c r="T56" s="1071" t="s">
        <v>252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587"/>
      <c r="B57" s="587"/>
      <c r="C57" s="587"/>
      <c r="D57" s="587"/>
      <c r="E57" s="587"/>
      <c r="F57" s="587"/>
      <c r="G57" s="587"/>
      <c r="H57" s="587"/>
      <c r="I57" s="587"/>
      <c r="J57" s="587"/>
      <c r="K57" s="587"/>
      <c r="L57" s="608"/>
      <c r="M57" s="1045"/>
      <c r="N57" s="1045"/>
      <c r="P57" s="151"/>
      <c r="Q57" s="1068"/>
      <c r="R57" s="151"/>
      <c r="S57" s="1070"/>
      <c r="T57" s="1071" t="s">
        <v>253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37"/>
      <c r="N58" s="37"/>
      <c r="O58" s="37"/>
      <c r="P58" s="42"/>
      <c r="Q58" s="42"/>
      <c r="R58" s="42"/>
      <c r="S58" s="42"/>
      <c r="AN58" s="42"/>
      <c r="AO58" s="42"/>
      <c r="AP58" s="42"/>
      <c r="AQ58" s="42"/>
      <c r="AR58" s="42"/>
      <c r="AS58" s="42">
        <v>11</v>
      </c>
    </row>
    <row r="59" ht="28.5"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27</v>
      </c>
    </row>
    <row r="60" ht="78.75"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75</v>
      </c>
    </row>
    <row r="61" ht="14.7" customHeight="1" spans="15:45">
      <c r="O61" s="37"/>
      <c r="AS61" s="42">
        <v>14</v>
      </c>
    </row>
    <row r="62" ht="18.75" customHeight="1" spans="15:45">
      <c r="O62" s="37"/>
      <c r="S62" s="781"/>
      <c r="T62" s="119"/>
      <c r="U62" s="119"/>
      <c r="V62" s="119"/>
      <c r="W62" s="119"/>
      <c r="X62" s="119"/>
      <c r="Y62" s="119"/>
      <c r="Z62" s="119"/>
      <c r="AA62" s="119"/>
      <c r="AB62" s="119"/>
      <c r="AC62" s="119"/>
      <c r="AD62" s="119"/>
      <c r="AE62" s="119"/>
      <c r="AF62" s="119"/>
      <c r="AG62" s="119"/>
      <c r="AH62" s="119"/>
      <c r="AI62" s="119"/>
      <c r="AJ62" s="119"/>
      <c r="AK62" s="119"/>
      <c r="AL62" s="119"/>
      <c r="AM62" s="119"/>
      <c r="AS62" s="42">
        <v>18</v>
      </c>
    </row>
    <row r="63" ht="18.75" customHeight="1" spans="15:45">
      <c r="O63" s="37"/>
      <c r="T63" s="119"/>
      <c r="U63" s="119"/>
      <c r="V63" s="119"/>
      <c r="W63" s="119"/>
      <c r="X63" s="119"/>
      <c r="Y63" s="119"/>
      <c r="Z63" s="119"/>
      <c r="AA63" s="119"/>
      <c r="AB63" s="119"/>
      <c r="AC63" s="119"/>
      <c r="AD63" s="119"/>
      <c r="AE63" s="119"/>
      <c r="AF63" s="119"/>
      <c r="AG63" s="119"/>
      <c r="AH63" s="119"/>
      <c r="AI63" s="119"/>
      <c r="AJ63" s="119"/>
      <c r="AK63" s="119"/>
      <c r="AL63" s="119"/>
      <c r="AM63" s="119"/>
      <c r="AS63" s="42">
        <v>18</v>
      </c>
    </row>
    <row r="64" ht="39.75" customHeight="1" spans="15:45">
      <c r="O64" s="37"/>
      <c r="S64" s="781"/>
      <c r="T64" s="119"/>
      <c r="U64" s="119"/>
      <c r="V64" s="119"/>
      <c r="W64" s="119"/>
      <c r="X64" s="119"/>
      <c r="Y64" s="119"/>
      <c r="Z64" s="119"/>
      <c r="AA64" s="119"/>
      <c r="AB64" s="119"/>
      <c r="AC64" s="119"/>
      <c r="AD64" s="119"/>
      <c r="AE64" s="119"/>
      <c r="AF64" s="119"/>
      <c r="AG64" s="119"/>
      <c r="AH64" s="119"/>
      <c r="AI64" s="119"/>
      <c r="AJ64" s="119"/>
      <c r="AK64" s="119"/>
      <c r="AL64" s="119"/>
      <c r="AM64" s="119"/>
      <c r="AS64" s="42">
        <v>38</v>
      </c>
    </row>
    <row r="65" ht="22.5" hidden="1" customHeight="1" spans="1:45">
      <c r="A65" s="37" t="s">
        <v>83</v>
      </c>
      <c r="B65" s="37">
        <v>0</v>
      </c>
      <c r="C65" s="37">
        <v>0</v>
      </c>
      <c r="D65" s="37">
        <v>0</v>
      </c>
      <c r="E65" s="37">
        <v>0</v>
      </c>
      <c r="F65" s="37">
        <v>0</v>
      </c>
      <c r="G65" s="37">
        <v>0</v>
      </c>
      <c r="H65" s="37">
        <v>0</v>
      </c>
      <c r="I65" s="37">
        <v>0</v>
      </c>
      <c r="J65" s="37">
        <v>0</v>
      </c>
      <c r="K65" s="37">
        <v>0</v>
      </c>
      <c r="L65" s="47">
        <v>0</v>
      </c>
      <c r="M65" s="38">
        <v>0</v>
      </c>
      <c r="N65" s="38">
        <v>0</v>
      </c>
      <c r="O65" s="38">
        <v>0</v>
      </c>
      <c r="P65" s="39">
        <v>3</v>
      </c>
      <c r="Q65" s="40">
        <v>3</v>
      </c>
      <c r="R65" s="40">
        <v>3</v>
      </c>
      <c r="S65" s="41">
        <v>12</v>
      </c>
      <c r="T65" s="42">
        <v>31</v>
      </c>
      <c r="U65" s="42">
        <v>0</v>
      </c>
      <c r="V65" s="42">
        <v>0</v>
      </c>
      <c r="W65" s="42">
        <v>0</v>
      </c>
      <c r="X65" s="42">
        <v>0</v>
      </c>
      <c r="Y65" s="42">
        <v>0</v>
      </c>
      <c r="Z65" s="42">
        <v>0</v>
      </c>
      <c r="AA65" s="42">
        <v>0</v>
      </c>
      <c r="AB65" s="42">
        <v>0</v>
      </c>
      <c r="AC65" s="42">
        <v>0</v>
      </c>
      <c r="AD65" s="42">
        <v>0</v>
      </c>
      <c r="AE65" s="42">
        <v>24</v>
      </c>
      <c r="AF65" s="42">
        <v>0</v>
      </c>
      <c r="AG65" s="42">
        <v>0</v>
      </c>
      <c r="AH65" s="42">
        <v>11</v>
      </c>
      <c r="AI65" s="42">
        <v>3</v>
      </c>
      <c r="AJ65" s="42">
        <v>11</v>
      </c>
      <c r="AK65" s="42">
        <v>0</v>
      </c>
      <c r="AL65" s="42">
        <v>4</v>
      </c>
      <c r="AM65" s="42">
        <v>115</v>
      </c>
      <c r="AN65" s="43">
        <v>10</v>
      </c>
      <c r="AO65" s="43">
        <v>10</v>
      </c>
      <c r="AP65" s="43">
        <v>10</v>
      </c>
      <c r="AQ65" s="43">
        <v>10</v>
      </c>
      <c r="AR65" s="43">
        <v>10</v>
      </c>
      <c r="AS65" s="42">
        <v>23</v>
      </c>
    </row>
  </sheetData>
  <sheetProtection formatColumns="0" formatRows="0" insertRows="0" deleteColumns="0" deleteRows="0" sort="0" autoFilter="0"/>
  <mergeCells count="110">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Z40:AB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2:AM62"/>
    <mergeCell ref="T63:AM63"/>
    <mergeCell ref="T64:AM64"/>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6"/>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9" hidden="1"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8.41904761904762" style="42" hidden="1" customWidth="1"/>
  </cols>
  <sheetData>
    <row r="1" ht="22.5" hidden="1" customHeight="1" spans="45:45">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idden="1" customHeight="1" spans="1:45">
      <c r="A6" s="45"/>
      <c r="B6" s="45"/>
      <c r="C6" s="45"/>
      <c r="D6" s="45"/>
      <c r="E6" s="1039"/>
      <c r="F6" s="1039"/>
      <c r="G6" s="1039"/>
      <c r="H6" s="1039"/>
      <c r="I6" s="228" t="e">
        <f>S5&amp;".1"</f>
        <v>#N/A</v>
      </c>
      <c r="J6" s="45"/>
      <c r="K6" s="45"/>
      <c r="L6" s="1040" t="s">
        <v>408</v>
      </c>
      <c r="M6" s="37"/>
      <c r="P6" s="92">
        <v>1</v>
      </c>
      <c r="Q6" s="92"/>
      <c r="R6" s="93"/>
      <c r="S6" s="329"/>
      <c r="T6" s="1053"/>
      <c r="U6" s="1051"/>
      <c r="V6" s="1078"/>
      <c r="W6" s="1052"/>
      <c r="X6" s="1052"/>
      <c r="Y6" s="1052"/>
      <c r="Z6" s="1052"/>
      <c r="AA6" s="1052"/>
      <c r="AB6" s="1052"/>
      <c r="AC6" s="1077"/>
      <c r="AD6" s="1078"/>
      <c r="AE6" s="1052"/>
      <c r="AF6" s="1052"/>
      <c r="AG6" s="1052"/>
      <c r="AH6" s="1052"/>
      <c r="AI6" s="1052"/>
      <c r="AJ6" s="1052"/>
      <c r="AK6" s="1052"/>
      <c r="AL6" s="1077"/>
      <c r="AM6" s="981"/>
      <c r="AO6" s="150"/>
      <c r="AP6" s="150" t="str">
        <f t="shared" si="0"/>
        <v/>
      </c>
      <c r="AQ6" s="150"/>
      <c r="AR6" s="150"/>
      <c r="AS6" s="42">
        <v>0</v>
      </c>
    </row>
    <row r="7" ht="21" hidden="1" customHeight="1" spans="1:45">
      <c r="A7" s="45"/>
      <c r="B7" s="45"/>
      <c r="C7" s="45"/>
      <c r="D7" s="45"/>
      <c r="E7" s="1039"/>
      <c r="F7" s="1039"/>
      <c r="G7" s="1039"/>
      <c r="H7" s="1039"/>
      <c r="I7" s="1044"/>
      <c r="J7" s="228" t="e">
        <f>I6&amp;".1"</f>
        <v>#N/A</v>
      </c>
      <c r="K7" s="45"/>
      <c r="L7" s="1040" t="s">
        <v>411</v>
      </c>
      <c r="M7" s="37"/>
      <c r="N7" s="37"/>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5"/>
      <c r="B8" s="45"/>
      <c r="C8" s="45"/>
      <c r="D8" s="45"/>
      <c r="E8" s="1039"/>
      <c r="F8" s="1039"/>
      <c r="G8" s="1039"/>
      <c r="H8" s="1039"/>
      <c r="I8" s="1044"/>
      <c r="J8" s="1044"/>
      <c r="K8" s="228" t="e">
        <f>J7&amp;".1"</f>
        <v>#N/A</v>
      </c>
      <c r="L8" s="1040" t="s">
        <v>414</v>
      </c>
      <c r="M8" s="37"/>
      <c r="N8" s="37"/>
      <c r="O8" s="37"/>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t="0.75"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5"/>
      <c r="B10" s="45"/>
      <c r="C10" s="45"/>
      <c r="D10" s="45"/>
      <c r="E10" s="1039"/>
      <c r="F10" s="1039"/>
      <c r="G10" s="1039"/>
      <c r="H10" s="1039"/>
      <c r="I10" s="1044"/>
      <c r="J10" s="228"/>
      <c r="K10" s="45"/>
      <c r="L10" s="1040"/>
      <c r="M10" s="37"/>
      <c r="N10" s="37"/>
      <c r="P10" s="92"/>
      <c r="Q10" s="92"/>
      <c r="R10" s="93"/>
      <c r="S10" s="104"/>
      <c r="T10" s="107"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5" hidden="1" customHeight="1" spans="1:45">
      <c r="A11" s="45"/>
      <c r="B11" s="45"/>
      <c r="C11" s="45"/>
      <c r="D11" s="45"/>
      <c r="E11" s="1039"/>
      <c r="F11" s="1039"/>
      <c r="G11" s="1039"/>
      <c r="H11" s="1039"/>
      <c r="I11" s="228"/>
      <c r="J11" s="45"/>
      <c r="K11" s="45"/>
      <c r="L11" s="1040"/>
      <c r="M11" s="37"/>
      <c r="P11" s="92"/>
      <c r="Q11" s="92"/>
      <c r="R11" s="93"/>
      <c r="S11" s="104"/>
      <c r="T11" s="109"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5"/>
      <c r="B12" s="45"/>
      <c r="C12" s="45"/>
      <c r="D12" s="45"/>
      <c r="E12" s="1039"/>
      <c r="F12" s="1039"/>
      <c r="G12" s="1039"/>
      <c r="H12" s="1038"/>
      <c r="I12" s="45"/>
      <c r="J12" s="45"/>
      <c r="K12" s="45"/>
      <c r="L12" s="1040"/>
      <c r="M12" s="46"/>
      <c r="N12" s="46"/>
      <c r="O12" s="37"/>
      <c r="P12" s="80"/>
      <c r="Q12" s="108"/>
      <c r="R12" s="81"/>
      <c r="S12" s="1065"/>
      <c r="T12" s="1066"/>
      <c r="U12" s="1067"/>
      <c r="V12" s="1067"/>
      <c r="W12" s="1067"/>
      <c r="X12" s="1067"/>
      <c r="Y12" s="1067"/>
      <c r="Z12" s="1067"/>
      <c r="AA12" s="1067"/>
      <c r="AB12" s="1067"/>
      <c r="AC12" s="1067"/>
      <c r="AD12" s="1067"/>
      <c r="AE12" s="1067"/>
      <c r="AF12" s="1067"/>
      <c r="AG12" s="1067"/>
      <c r="AH12" s="1067"/>
      <c r="AI12" s="1067"/>
      <c r="AJ12" s="1067"/>
      <c r="AK12" s="1067"/>
      <c r="AL12" s="1067"/>
      <c r="AM12" s="1109"/>
      <c r="AO12" s="150"/>
      <c r="AP12" s="150" t="str">
        <f t="shared" si="0"/>
        <v/>
      </c>
      <c r="AQ12" s="150"/>
      <c r="AR12" s="150"/>
      <c r="AS12" s="42">
        <v>0</v>
      </c>
    </row>
    <row r="13" s="43" customFormat="1" ht="0.75"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587"/>
      <c r="B14" s="587"/>
      <c r="C14" s="587"/>
      <c r="D14" s="587"/>
      <c r="E14" s="1039"/>
      <c r="F14" s="1038"/>
      <c r="G14" s="587"/>
      <c r="H14" s="587"/>
      <c r="I14" s="587"/>
      <c r="J14" s="587"/>
      <c r="K14" s="587"/>
      <c r="L14" s="608"/>
      <c r="M14" s="1045"/>
      <c r="N14" s="1045"/>
      <c r="P14" s="151"/>
      <c r="Q14" s="1068"/>
      <c r="R14" s="151"/>
      <c r="S14" s="1070"/>
      <c r="T14" s="1154" t="s">
        <v>251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587"/>
      <c r="B15" s="587"/>
      <c r="C15" s="587"/>
      <c r="D15" s="587"/>
      <c r="E15" s="1038"/>
      <c r="F15" s="587"/>
      <c r="G15" s="587"/>
      <c r="H15" s="587"/>
      <c r="I15" s="587"/>
      <c r="J15" s="587"/>
      <c r="K15" s="587"/>
      <c r="L15" s="608"/>
      <c r="M15" s="1045"/>
      <c r="N15" s="1045"/>
      <c r="P15" s="151"/>
      <c r="Q15" s="1068"/>
      <c r="R15" s="151"/>
      <c r="S15" s="1070"/>
      <c r="T15" s="1071" t="s">
        <v>252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63" customHeight="1" spans="17:45">
      <c r="Q26" s="50"/>
      <c r="R26" s="50"/>
      <c r="S26" s="75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750"/>
      <c r="U26" s="750"/>
      <c r="V26" s="750"/>
      <c r="W26" s="750"/>
      <c r="X26" s="750"/>
      <c r="Y26" s="750"/>
      <c r="Z26" s="750"/>
      <c r="AA26" s="750"/>
      <c r="AB26" s="750"/>
      <c r="AC26" s="750"/>
      <c r="AD26" s="750"/>
      <c r="AE26" s="750"/>
      <c r="AF26" s="750"/>
      <c r="AG26" s="750"/>
      <c r="AH26" s="750"/>
      <c r="AI26" s="750"/>
      <c r="AJ26" s="750"/>
      <c r="AK26" s="120"/>
      <c r="AS26" s="42">
        <v>60</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РТ по тарифам</v>
      </c>
      <c r="W29" s="59"/>
      <c r="X29" s="59"/>
      <c r="Y29" s="59"/>
      <c r="Z29" s="59"/>
      <c r="AA29" s="59"/>
      <c r="AB29" s="59"/>
      <c r="AC29" s="42"/>
      <c r="AD29" s="59" t="str">
        <f>IF(TITLE_NAME_OR_PR_CHANGE="",IF(TITLE_NAME_OR_PR="","",TITLE_NAME_OR_PR),TITLE_NAME_OR_PR_CHANGE)</f>
        <v>Государственный комитет РТ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108-73/тп-2024</v>
      </c>
      <c r="W31" s="59"/>
      <c r="X31" s="59"/>
      <c r="Y31" s="59"/>
      <c r="Z31" s="59"/>
      <c r="AA31" s="59"/>
      <c r="AB31" s="59"/>
      <c r="AC31" s="42"/>
      <c r="AD31" s="59" t="str">
        <f>IF(TITLE_NUMBER_PR_CHANGE="",IF(TITLE_NUMBER_PR="","",TITLE_NUMBER_PR),TITLE_NUMBER_PR_CHANGE)</f>
        <v>108-73/тп-2024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
Республики Татарстан"</v>
      </c>
      <c r="W32" s="59"/>
      <c r="X32" s="59"/>
      <c r="Y32" s="59"/>
      <c r="Z32" s="59"/>
      <c r="AA32" s="59"/>
      <c r="AB32" s="59"/>
      <c r="AC32" s="42"/>
      <c r="AD32" s="59" t="str">
        <f>IF(TITLE_IST_PUB_CHANGE="",IF(TITLE_IST_PUB="","",TITLE_IST_PUB),TITLE_IST_PUB_CHANGE)</f>
        <v>"Официальный портал правовой информации
Республики Татарстан"</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108-73/тп-2024</v>
      </c>
      <c r="W35" s="59"/>
      <c r="X35" s="59"/>
      <c r="Y35" s="59"/>
      <c r="Z35" s="59"/>
      <c r="AA35" s="59"/>
      <c r="AB35" s="59"/>
      <c r="AC35" s="42"/>
      <c r="AD35" s="59" t="str">
        <f>IF(TITLE_NUMBER_PR_CHANGE="",IF(TITLE_NUMBER_PR="","",TITLE_NUMBER_PR),TITLE_NUMBER_PR_CHANGE)</f>
        <v>108-73/тп-2024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c r="X40" s="125" t="s">
        <v>438</v>
      </c>
      <c r="Y40" s="126"/>
      <c r="Z40" s="125" t="s">
        <v>439</v>
      </c>
      <c r="AA40" s="127"/>
      <c r="AB40" s="126"/>
      <c r="AC40" s="128"/>
      <c r="AD40" s="70" t="s">
        <v>452</v>
      </c>
      <c r="AE40" s="1167"/>
      <c r="AF40" s="125" t="s">
        <v>438</v>
      </c>
      <c r="AG40" s="126"/>
      <c r="AH40" s="125" t="s">
        <v>439</v>
      </c>
      <c r="AI40" s="127"/>
      <c r="AJ40" s="126"/>
      <c r="AK40" s="128"/>
      <c r="AL40" s="129"/>
      <c r="AM40" s="63"/>
      <c r="AS40" s="42">
        <v>34</v>
      </c>
    </row>
    <row r="41" ht="35.7"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5" t="s">
        <v>170</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5" t="s">
        <v>170</v>
      </c>
      <c r="B44" s="45" t="s">
        <v>171</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5" t="s">
        <v>170</v>
      </c>
      <c r="B45" s="45" t="s">
        <v>171</v>
      </c>
      <c r="C45" s="45" t="s">
        <v>172</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5" t="s">
        <v>170</v>
      </c>
      <c r="B46" s="45" t="s">
        <v>171</v>
      </c>
      <c r="C46" s="45" t="s">
        <v>172</v>
      </c>
      <c r="D46" s="45" t="s">
        <v>173</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s="43" customFormat="1" hidden="1" customHeight="1" spans="1:45">
      <c r="A47" s="587" t="s">
        <v>170</v>
      </c>
      <c r="B47" s="587" t="s">
        <v>171</v>
      </c>
      <c r="C47" s="587" t="s">
        <v>172</v>
      </c>
      <c r="D47" s="587" t="s">
        <v>173</v>
      </c>
      <c r="E47" s="1039"/>
      <c r="F47" s="1039"/>
      <c r="G47" s="1039"/>
      <c r="H47" s="1039"/>
      <c r="I47" s="228" t="str">
        <f>S46&amp;".1"</f>
        <v>....1</v>
      </c>
      <c r="J47" s="587"/>
      <c r="K47" s="587"/>
      <c r="L47" s="608" t="s">
        <v>408</v>
      </c>
      <c r="M47" s="1043"/>
      <c r="N47" s="1043"/>
      <c r="O47" s="1043"/>
      <c r="P47" s="92">
        <v>1</v>
      </c>
      <c r="Q47" s="92"/>
      <c r="R47" s="93"/>
      <c r="S47" s="329"/>
      <c r="T47" s="1053"/>
      <c r="U47" s="1051"/>
      <c r="V47" s="1078"/>
      <c r="W47" s="1052"/>
      <c r="X47" s="1052"/>
      <c r="Y47" s="1052"/>
      <c r="Z47" s="1052"/>
      <c r="AA47" s="1052"/>
      <c r="AB47" s="1052"/>
      <c r="AC47" s="1077"/>
      <c r="AD47" s="1078"/>
      <c r="AE47" s="1052"/>
      <c r="AF47" s="1052"/>
      <c r="AG47" s="1052"/>
      <c r="AH47" s="1052"/>
      <c r="AI47" s="1052"/>
      <c r="AJ47" s="1052"/>
      <c r="AK47" s="1052"/>
      <c r="AL47" s="1077"/>
      <c r="AM47" s="981"/>
      <c r="AO47" s="150"/>
      <c r="AP47" s="150" t="str">
        <f t="shared" si="1"/>
        <v/>
      </c>
      <c r="AQ47" s="150"/>
      <c r="AR47" s="150"/>
      <c r="AS47" s="43">
        <v>0</v>
      </c>
    </row>
    <row r="48" ht="22.05" customHeight="1" spans="1:45">
      <c r="A48" s="45" t="s">
        <v>170</v>
      </c>
      <c r="B48" s="45" t="s">
        <v>171</v>
      </c>
      <c r="C48" s="45" t="s">
        <v>172</v>
      </c>
      <c r="D48" s="45" t="s">
        <v>173</v>
      </c>
      <c r="E48" s="1039"/>
      <c r="F48" s="1039"/>
      <c r="G48" s="1039"/>
      <c r="H48" s="1039"/>
      <c r="I48" s="1044"/>
      <c r="J48" s="228" t="str">
        <f>S46&amp;".1"</f>
        <v>....1</v>
      </c>
      <c r="K48" s="45"/>
      <c r="L48" s="1040" t="s">
        <v>411</v>
      </c>
      <c r="P48" s="92"/>
      <c r="Q48" s="92">
        <v>1</v>
      </c>
      <c r="R48" s="96"/>
      <c r="S48" s="64" t="str">
        <f>$J48</f>
        <v>....1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5" t="s">
        <v>170</v>
      </c>
      <c r="B49" s="45" t="s">
        <v>171</v>
      </c>
      <c r="C49" s="45" t="s">
        <v>172</v>
      </c>
      <c r="D49" s="45" t="s">
        <v>173</v>
      </c>
      <c r="E49" s="1039"/>
      <c r="F49" s="1039"/>
      <c r="G49" s="1039"/>
      <c r="H49" s="1039"/>
      <c r="I49" s="1044"/>
      <c r="J49" s="1044"/>
      <c r="K49" s="228" t="str">
        <f>J48&amp;".1"</f>
        <v>....1.1</v>
      </c>
      <c r="L49" s="1040" t="s">
        <v>414</v>
      </c>
      <c r="P49" s="92"/>
      <c r="Q49" s="92"/>
      <c r="R49" s="96">
        <v>1</v>
      </c>
      <c r="S49" s="64" t="str">
        <f>$K49</f>
        <v>....1.1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453</v>
      </c>
      <c r="AN49" s="43" t="e">
        <f>STRCHECKDATE(V50:AL50)</f>
        <v>#NAME?</v>
      </c>
      <c r="AO49" s="150"/>
      <c r="AP49" s="150" t="str">
        <f t="shared" si="1"/>
        <v/>
      </c>
      <c r="AQ49" s="150"/>
      <c r="AR49" s="150"/>
      <c r="AS49" s="42">
        <v>21</v>
      </c>
    </row>
    <row r="50" ht="1.05" customHeight="1" spans="1:45">
      <c r="A50" s="45" t="s">
        <v>170</v>
      </c>
      <c r="B50" s="45" t="s">
        <v>171</v>
      </c>
      <c r="C50" s="45" t="s">
        <v>172</v>
      </c>
      <c r="D50" s="45" t="s">
        <v>173</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5" t="s">
        <v>170</v>
      </c>
      <c r="B51" s="45" t="s">
        <v>171</v>
      </c>
      <c r="C51" s="45" t="s">
        <v>172</v>
      </c>
      <c r="D51" s="45" t="s">
        <v>173</v>
      </c>
      <c r="E51" s="1039"/>
      <c r="F51" s="1039"/>
      <c r="G51" s="1039"/>
      <c r="H51" s="1039"/>
      <c r="I51" s="1044"/>
      <c r="J51" s="228"/>
      <c r="K51" s="45"/>
      <c r="L51" s="1040"/>
      <c r="P51" s="92"/>
      <c r="Q51" s="92"/>
      <c r="R51" s="93"/>
      <c r="S51" s="104"/>
      <c r="T51" s="107"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170</v>
      </c>
      <c r="B52" s="45" t="s">
        <v>171</v>
      </c>
      <c r="C52" s="45" t="s">
        <v>172</v>
      </c>
      <c r="D52" s="45" t="s">
        <v>173</v>
      </c>
      <c r="E52" s="1039"/>
      <c r="F52" s="1039"/>
      <c r="G52" s="1039"/>
      <c r="H52" s="1039"/>
      <c r="I52" s="228"/>
      <c r="J52" s="45"/>
      <c r="K52" s="45"/>
      <c r="L52" s="1040"/>
      <c r="P52" s="92"/>
      <c r="Q52" s="92"/>
      <c r="R52" s="93"/>
      <c r="S52" s="104"/>
      <c r="T52" s="109"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idden="1" customHeight="1" spans="1:45">
      <c r="A53" s="45" t="s">
        <v>170</v>
      </c>
      <c r="B53" s="45" t="s">
        <v>171</v>
      </c>
      <c r="C53" s="45" t="s">
        <v>172</v>
      </c>
      <c r="D53" s="45" t="s">
        <v>173</v>
      </c>
      <c r="E53" s="1039"/>
      <c r="F53" s="1039"/>
      <c r="G53" s="1039"/>
      <c r="H53" s="1038"/>
      <c r="I53" s="45"/>
      <c r="J53" s="45"/>
      <c r="K53" s="45"/>
      <c r="L53" s="1040"/>
      <c r="M53" s="46"/>
      <c r="N53" s="46"/>
      <c r="O53" s="37"/>
      <c r="P53" s="80"/>
      <c r="Q53" s="108"/>
      <c r="R53" s="81"/>
      <c r="S53" s="1065"/>
      <c r="T53" s="1066"/>
      <c r="U53" s="1067"/>
      <c r="V53" s="1067"/>
      <c r="W53" s="1067"/>
      <c r="X53" s="1067"/>
      <c r="Y53" s="1067"/>
      <c r="Z53" s="1067"/>
      <c r="AA53" s="1067"/>
      <c r="AB53" s="1067"/>
      <c r="AC53" s="1067"/>
      <c r="AD53" s="1067"/>
      <c r="AE53" s="1067"/>
      <c r="AF53" s="1067"/>
      <c r="AG53" s="1067"/>
      <c r="AH53" s="1067"/>
      <c r="AI53" s="1067"/>
      <c r="AJ53" s="1067"/>
      <c r="AK53" s="1067"/>
      <c r="AL53" s="1067"/>
      <c r="AM53" s="1109"/>
      <c r="AO53" s="150"/>
      <c r="AP53" s="150" t="str">
        <f t="shared" si="1"/>
        <v/>
      </c>
      <c r="AQ53" s="150"/>
      <c r="AR53" s="150"/>
      <c r="AS53" s="42">
        <v>0</v>
      </c>
    </row>
    <row r="54" s="43" customFormat="1" ht="1.05" customHeight="1" spans="1:45">
      <c r="A54" s="587" t="s">
        <v>170</v>
      </c>
      <c r="B54" s="587" t="s">
        <v>171</v>
      </c>
      <c r="C54" s="587" t="s">
        <v>172</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587" t="s">
        <v>170</v>
      </c>
      <c r="B55" s="587" t="s">
        <v>171</v>
      </c>
      <c r="C55" s="587"/>
      <c r="D55" s="587"/>
      <c r="E55" s="1039"/>
      <c r="F55" s="1038"/>
      <c r="G55" s="587"/>
      <c r="H55" s="587"/>
      <c r="I55" s="587"/>
      <c r="J55" s="587"/>
      <c r="K55" s="587"/>
      <c r="L55" s="608"/>
      <c r="M55" s="1045"/>
      <c r="N55" s="1045"/>
      <c r="P55" s="151"/>
      <c r="Q55" s="1068"/>
      <c r="R55" s="151"/>
      <c r="S55" s="1070"/>
      <c r="T55" s="1071" t="s">
        <v>251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587" t="s">
        <v>170</v>
      </c>
      <c r="B56" s="587"/>
      <c r="C56" s="587"/>
      <c r="D56" s="587"/>
      <c r="E56" s="1038"/>
      <c r="F56" s="587"/>
      <c r="G56" s="587"/>
      <c r="H56" s="587"/>
      <c r="I56" s="587"/>
      <c r="J56" s="587"/>
      <c r="K56" s="587"/>
      <c r="L56" s="608"/>
      <c r="M56" s="1045"/>
      <c r="N56" s="1045"/>
      <c r="P56" s="151"/>
      <c r="Q56" s="1068"/>
      <c r="R56" s="151"/>
      <c r="S56" s="1070"/>
      <c r="T56" s="1071" t="s">
        <v>252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587"/>
      <c r="B57" s="587"/>
      <c r="C57" s="587"/>
      <c r="D57" s="587"/>
      <c r="E57" s="587"/>
      <c r="F57" s="587"/>
      <c r="G57" s="587"/>
      <c r="H57" s="587"/>
      <c r="I57" s="587"/>
      <c r="J57" s="587"/>
      <c r="K57" s="587"/>
      <c r="L57" s="608"/>
      <c r="M57" s="1045"/>
      <c r="N57" s="1045"/>
      <c r="P57" s="151"/>
      <c r="Q57" s="1068"/>
      <c r="R57" s="151"/>
      <c r="S57" s="1070"/>
      <c r="T57" s="1071" t="s">
        <v>253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37"/>
      <c r="N58" s="37"/>
      <c r="O58" s="37"/>
      <c r="P58" s="42"/>
      <c r="Q58" s="42"/>
      <c r="R58" s="42"/>
      <c r="S58" s="42"/>
      <c r="AN58" s="42"/>
      <c r="AO58" s="42"/>
      <c r="AP58" s="42"/>
      <c r="AQ58" s="42"/>
      <c r="AR58" s="42"/>
      <c r="AS58" s="42">
        <v>11</v>
      </c>
    </row>
    <row r="59" ht="19.95"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19</v>
      </c>
    </row>
    <row r="60" ht="29.25"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28</v>
      </c>
    </row>
    <row r="61" ht="42" customHeight="1" spans="15:45">
      <c r="O61" s="37"/>
      <c r="T61" s="119"/>
      <c r="U61" s="119"/>
      <c r="V61" s="119"/>
      <c r="W61" s="119"/>
      <c r="X61" s="119"/>
      <c r="Y61" s="119"/>
      <c r="Z61" s="119"/>
      <c r="AA61" s="119"/>
      <c r="AB61" s="119"/>
      <c r="AC61" s="119"/>
      <c r="AD61" s="119"/>
      <c r="AE61" s="119"/>
      <c r="AF61" s="119"/>
      <c r="AG61" s="119"/>
      <c r="AH61" s="119"/>
      <c r="AI61" s="119"/>
      <c r="AJ61" s="119"/>
      <c r="AK61" s="119"/>
      <c r="AL61" s="119"/>
      <c r="AM61" s="119"/>
      <c r="AS61" s="42">
        <v>40</v>
      </c>
    </row>
    <row r="62" ht="14.7" customHeight="1" spans="15:45">
      <c r="O62" s="37"/>
      <c r="AS62" s="42">
        <v>14</v>
      </c>
    </row>
    <row r="63" ht="21" customHeight="1" spans="15:45">
      <c r="O63" s="37"/>
      <c r="S63" s="781"/>
      <c r="T63" s="1168"/>
      <c r="U63" s="119"/>
      <c r="V63" s="119"/>
      <c r="W63" s="119"/>
      <c r="X63" s="119"/>
      <c r="Y63" s="119"/>
      <c r="Z63" s="119"/>
      <c r="AA63" s="119"/>
      <c r="AB63" s="119"/>
      <c r="AC63" s="119"/>
      <c r="AD63" s="119"/>
      <c r="AE63" s="119"/>
      <c r="AF63" s="119"/>
      <c r="AG63" s="119"/>
      <c r="AH63" s="119"/>
      <c r="AI63" s="119"/>
      <c r="AJ63" s="119"/>
      <c r="AK63" s="119"/>
      <c r="AL63" s="119"/>
      <c r="AM63" s="119"/>
      <c r="AS63" s="42">
        <v>20</v>
      </c>
    </row>
    <row r="64" ht="29.25" customHeight="1" spans="15:45">
      <c r="O64" s="37"/>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35.7" customHeight="1" spans="20:45">
      <c r="T65" s="119"/>
      <c r="U65" s="119"/>
      <c r="V65" s="119"/>
      <c r="W65" s="119"/>
      <c r="X65" s="119"/>
      <c r="Y65" s="119"/>
      <c r="Z65" s="119"/>
      <c r="AA65" s="119"/>
      <c r="AB65" s="119"/>
      <c r="AC65" s="119"/>
      <c r="AD65" s="119"/>
      <c r="AE65" s="119"/>
      <c r="AF65" s="119"/>
      <c r="AG65" s="119"/>
      <c r="AH65" s="119"/>
      <c r="AI65" s="119"/>
      <c r="AJ65" s="119"/>
      <c r="AK65" s="119"/>
      <c r="AL65" s="119"/>
      <c r="AM65" s="119"/>
      <c r="AS65" s="42">
        <v>34</v>
      </c>
    </row>
    <row r="66" ht="22.5" hidden="1" customHeight="1" spans="1:45">
      <c r="A66" s="37" t="s">
        <v>83</v>
      </c>
      <c r="B66" s="37">
        <v>0</v>
      </c>
      <c r="C66" s="37">
        <v>0</v>
      </c>
      <c r="D66" s="37">
        <v>0</v>
      </c>
      <c r="E66" s="37">
        <v>0</v>
      </c>
      <c r="F66" s="37">
        <v>0</v>
      </c>
      <c r="G66" s="37">
        <v>0</v>
      </c>
      <c r="H66" s="37">
        <v>0</v>
      </c>
      <c r="I66" s="37">
        <v>0</v>
      </c>
      <c r="J66" s="37">
        <v>0</v>
      </c>
      <c r="K66" s="37">
        <v>0</v>
      </c>
      <c r="L66" s="47">
        <v>0</v>
      </c>
      <c r="M66" s="38">
        <v>0</v>
      </c>
      <c r="N66" s="38">
        <v>0</v>
      </c>
      <c r="O66" s="38">
        <v>0</v>
      </c>
      <c r="P66" s="39">
        <v>0</v>
      </c>
      <c r="Q66" s="40">
        <v>3</v>
      </c>
      <c r="R66" s="40">
        <v>3</v>
      </c>
      <c r="S66" s="41">
        <v>12</v>
      </c>
      <c r="T66" s="42">
        <v>31</v>
      </c>
      <c r="U66" s="42">
        <v>0</v>
      </c>
      <c r="V66" s="42">
        <v>0</v>
      </c>
      <c r="W66" s="42">
        <v>0</v>
      </c>
      <c r="X66" s="42">
        <v>0</v>
      </c>
      <c r="Y66" s="42">
        <v>0</v>
      </c>
      <c r="Z66" s="42">
        <v>0</v>
      </c>
      <c r="AA66" s="42">
        <v>0</v>
      </c>
      <c r="AB66" s="42">
        <v>0</v>
      </c>
      <c r="AC66" s="42">
        <v>0</v>
      </c>
      <c r="AD66" s="42">
        <v>24</v>
      </c>
      <c r="AE66" s="42">
        <v>0</v>
      </c>
      <c r="AF66" s="42">
        <v>24</v>
      </c>
      <c r="AG66" s="42">
        <v>24</v>
      </c>
      <c r="AH66" s="42">
        <v>11</v>
      </c>
      <c r="AI66" s="42">
        <v>3</v>
      </c>
      <c r="AJ66" s="42">
        <v>11</v>
      </c>
      <c r="AK66" s="42">
        <v>0</v>
      </c>
      <c r="AL66" s="42">
        <v>4</v>
      </c>
      <c r="AM66" s="42">
        <v>115</v>
      </c>
      <c r="AN66" s="43">
        <v>10</v>
      </c>
      <c r="AO66" s="43">
        <v>10</v>
      </c>
      <c r="AP66" s="43">
        <v>10</v>
      </c>
      <c r="AQ66" s="43">
        <v>10</v>
      </c>
      <c r="AR66" s="43">
        <v>10</v>
      </c>
      <c r="AS66" s="42">
        <v>23</v>
      </c>
    </row>
  </sheetData>
  <sheetProtection formatColumns="0" formatRows="0" insertRows="0" deleteColumns="0" deleteRows="0" sort="0" autoFilter="0"/>
  <mergeCells count="113">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1:AM61"/>
    <mergeCell ref="T63:AM63"/>
    <mergeCell ref="T64:AM64"/>
    <mergeCell ref="T65:AM65"/>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6"/>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9" hidden="1"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1:45">
      <c r="A1" s="1169"/>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1056" t="e">
        <f>INDEX(PT_DIFFERENTIATION_NUM_CS,MATCH(C4,PT_DIFFERENTIATION_CS_ID,0))</f>
        <v>#N/A</v>
      </c>
      <c r="T4" s="1170" t="s">
        <v>404</v>
      </c>
      <c r="U4" s="1171"/>
      <c r="V4" s="1172"/>
      <c r="W4" s="1173"/>
      <c r="X4" s="1173"/>
      <c r="Y4" s="1173"/>
      <c r="Z4" s="1173"/>
      <c r="AA4" s="1173"/>
      <c r="AB4" s="1173"/>
      <c r="AC4" s="1177"/>
      <c r="AD4" s="1172" t="e">
        <f>INDEX(PT_DIFFERENTIATION_CS,MATCH(C4,PT_DIFFERENTIATION_CS_ID,0))</f>
        <v>#N/A</v>
      </c>
      <c r="AE4" s="1173"/>
      <c r="AF4" s="1173"/>
      <c r="AG4" s="1173"/>
      <c r="AH4" s="1173"/>
      <c r="AI4" s="1173"/>
      <c r="AJ4" s="1173"/>
      <c r="AK4" s="1173"/>
      <c r="AL4" s="1177"/>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42"/>
      <c r="S5" s="64" t="e">
        <f>INDEX(PT_DIFFERENTIATION_NUM_IST_TE,MATCH(D5,PT_DIFFERENTIATION_IST_TE_ID,0))</f>
        <v>#N/A</v>
      </c>
      <c r="T5" s="91" t="s">
        <v>406</v>
      </c>
      <c r="U5" s="83"/>
      <c r="V5" s="584"/>
      <c r="W5" s="584"/>
      <c r="X5" s="584"/>
      <c r="Y5" s="584"/>
      <c r="Z5" s="584"/>
      <c r="AA5" s="584"/>
      <c r="AB5" s="584"/>
      <c r="AC5" s="584"/>
      <c r="AD5" s="584" t="e">
        <f>INDEX(PT_DIFFERENTIATION_IST_TE,MATCH(D5,PT_DIFFERENTIATION_IST_TE_ID,0))</f>
        <v>#N/A</v>
      </c>
      <c r="AE5" s="584"/>
      <c r="AF5" s="584"/>
      <c r="AG5" s="584"/>
      <c r="AH5" s="584"/>
      <c r="AI5" s="584"/>
      <c r="AJ5" s="584"/>
      <c r="AK5" s="584"/>
      <c r="AL5" s="584"/>
      <c r="AM5" s="1180" t="s">
        <v>407</v>
      </c>
      <c r="AO5" s="150"/>
      <c r="AP5" s="150" t="str">
        <f t="shared" si="0"/>
        <v>Источник тепловой энергии  </v>
      </c>
      <c r="AQ5" s="150"/>
      <c r="AR5" s="150"/>
      <c r="AS5" s="42">
        <v>0</v>
      </c>
    </row>
    <row r="6" ht="0.75" hidden="1" customHeight="1" spans="1:45">
      <c r="A6" s="45"/>
      <c r="B6" s="45"/>
      <c r="C6" s="45"/>
      <c r="D6" s="45"/>
      <c r="E6" s="1039"/>
      <c r="F6" s="1039"/>
      <c r="G6" s="1039"/>
      <c r="H6" s="1039"/>
      <c r="I6" s="228" t="e">
        <f>S5&amp;".1"</f>
        <v>#N/A</v>
      </c>
      <c r="J6" s="45"/>
      <c r="K6" s="45"/>
      <c r="L6" s="1040" t="s">
        <v>408</v>
      </c>
      <c r="M6" s="37"/>
      <c r="P6" s="92">
        <v>1</v>
      </c>
      <c r="Q6" s="92"/>
      <c r="R6" s="92"/>
      <c r="S6" s="329"/>
      <c r="T6" s="1053"/>
      <c r="U6" s="1051"/>
      <c r="V6" s="329"/>
      <c r="W6" s="329"/>
      <c r="X6" s="329"/>
      <c r="Y6" s="329"/>
      <c r="Z6" s="329"/>
      <c r="AA6" s="329"/>
      <c r="AB6" s="329"/>
      <c r="AC6" s="329"/>
      <c r="AD6" s="329"/>
      <c r="AE6" s="329"/>
      <c r="AF6" s="329"/>
      <c r="AG6" s="329"/>
      <c r="AH6" s="329"/>
      <c r="AI6" s="329"/>
      <c r="AJ6" s="329"/>
      <c r="AK6" s="329"/>
      <c r="AL6" s="329"/>
      <c r="AM6" s="1181"/>
      <c r="AO6" s="150"/>
      <c r="AP6" s="150" t="str">
        <f t="shared" si="0"/>
        <v/>
      </c>
      <c r="AQ6" s="150"/>
      <c r="AR6" s="150"/>
      <c r="AS6" s="42">
        <v>0</v>
      </c>
    </row>
    <row r="7" ht="84" hidden="1" customHeight="1" spans="1:45">
      <c r="A7" s="45"/>
      <c r="B7" s="45"/>
      <c r="C7" s="45"/>
      <c r="D7" s="45"/>
      <c r="E7" s="1039"/>
      <c r="F7" s="1039"/>
      <c r="G7" s="1039"/>
      <c r="H7" s="1039"/>
      <c r="I7" s="1044"/>
      <c r="J7" s="228" t="e">
        <f>I6&amp;".1"</f>
        <v>#N/A</v>
      </c>
      <c r="K7" s="45"/>
      <c r="L7" s="1040" t="s">
        <v>411</v>
      </c>
      <c r="M7" s="37"/>
      <c r="N7" s="37"/>
      <c r="P7" s="92"/>
      <c r="Q7" s="92">
        <v>1</v>
      </c>
      <c r="R7" s="43"/>
      <c r="S7" s="64" t="e">
        <f>$J7</f>
        <v>#N/A</v>
      </c>
      <c r="T7" s="97" t="s">
        <v>412</v>
      </c>
      <c r="U7" s="83"/>
      <c r="V7" s="95"/>
      <c r="W7" s="95"/>
      <c r="X7" s="95"/>
      <c r="Y7" s="95"/>
      <c r="Z7" s="95"/>
      <c r="AA7" s="95"/>
      <c r="AB7" s="95"/>
      <c r="AC7" s="95"/>
      <c r="AD7" s="95"/>
      <c r="AE7" s="95"/>
      <c r="AF7" s="95"/>
      <c r="AG7" s="95"/>
      <c r="AH7" s="95"/>
      <c r="AI7" s="95"/>
      <c r="AJ7" s="95"/>
      <c r="AK7" s="95"/>
      <c r="AL7" s="95"/>
      <c r="AM7" s="1180" t="s">
        <v>413</v>
      </c>
      <c r="AO7" s="150"/>
      <c r="AP7" s="150" t="str">
        <f t="shared" si="0"/>
        <v>Группа потребителей</v>
      </c>
      <c r="AQ7" s="150"/>
      <c r="AR7" s="150"/>
      <c r="AS7" s="42">
        <v>0</v>
      </c>
    </row>
    <row r="8" ht="11.25" hidden="1" customHeight="1" spans="1:45">
      <c r="A8" s="45"/>
      <c r="B8" s="45"/>
      <c r="C8" s="45"/>
      <c r="D8" s="45"/>
      <c r="E8" s="1039"/>
      <c r="F8" s="1039"/>
      <c r="G8" s="1039"/>
      <c r="H8" s="1039"/>
      <c r="I8" s="1044"/>
      <c r="J8" s="1044"/>
      <c r="K8" s="228" t="e">
        <f>J7&amp;".1"</f>
        <v>#N/A</v>
      </c>
      <c r="L8" s="1040" t="s">
        <v>414</v>
      </c>
      <c r="M8" s="37"/>
      <c r="N8" s="37"/>
      <c r="O8" s="37"/>
      <c r="P8" s="92"/>
      <c r="Q8" s="92"/>
      <c r="R8" s="96">
        <v>1</v>
      </c>
      <c r="S8" s="1062" t="e">
        <f>$K8</f>
        <v>#N/A</v>
      </c>
      <c r="T8" s="1174"/>
      <c r="U8" s="1175"/>
      <c r="V8" s="1176"/>
      <c r="W8" s="1148"/>
      <c r="X8" s="1176"/>
      <c r="Y8" s="1178"/>
      <c r="Z8" s="1179"/>
      <c r="AA8" s="477" t="s">
        <v>62</v>
      </c>
      <c r="AB8" s="1179"/>
      <c r="AC8" s="477" t="s">
        <v>62</v>
      </c>
      <c r="AD8" s="1176"/>
      <c r="AE8" s="1148"/>
      <c r="AF8" s="1176"/>
      <c r="AG8" s="1178"/>
      <c r="AH8" s="1179"/>
      <c r="AI8" s="477" t="s">
        <v>62</v>
      </c>
      <c r="AJ8" s="1179"/>
      <c r="AK8" s="477" t="s">
        <v>62</v>
      </c>
      <c r="AL8" s="1148"/>
      <c r="AM8" s="140" t="s">
        <v>415</v>
      </c>
      <c r="AN8" s="43" t="e">
        <f>STRCHECKDATE(V9:AL9)</f>
        <v>#NAME?</v>
      </c>
      <c r="AO8" s="150"/>
      <c r="AP8" s="150" t="str">
        <f t="shared" si="0"/>
        <v/>
      </c>
      <c r="AQ8" s="150"/>
      <c r="AR8" s="150"/>
      <c r="AS8" s="42">
        <v>0</v>
      </c>
    </row>
    <row r="9" ht="0.75"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1.25" hidden="1" customHeight="1" spans="1:45">
      <c r="A10" s="45"/>
      <c r="B10" s="45"/>
      <c r="C10" s="45"/>
      <c r="D10" s="45"/>
      <c r="E10" s="1039"/>
      <c r="F10" s="1039"/>
      <c r="G10" s="1039"/>
      <c r="H10" s="1039"/>
      <c r="I10" s="1044"/>
      <c r="J10" s="228"/>
      <c r="K10" s="45"/>
      <c r="L10" s="1040"/>
      <c r="M10" s="37"/>
      <c r="N10" s="37"/>
      <c r="P10" s="92"/>
      <c r="Q10" s="92"/>
      <c r="R10" s="93"/>
      <c r="S10" s="104"/>
      <c r="T10" s="107"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1.25" hidden="1" customHeight="1" spans="1:45">
      <c r="A11" s="45"/>
      <c r="B11" s="45"/>
      <c r="C11" s="45"/>
      <c r="D11" s="45"/>
      <c r="E11" s="1039"/>
      <c r="F11" s="1039"/>
      <c r="G11" s="1039"/>
      <c r="H11" s="1039"/>
      <c r="I11" s="228"/>
      <c r="J11" s="45"/>
      <c r="K11" s="45"/>
      <c r="L11" s="1040"/>
      <c r="M11" s="37"/>
      <c r="P11" s="92"/>
      <c r="Q11" s="92"/>
      <c r="R11" s="93"/>
      <c r="S11" s="104"/>
      <c r="T11" s="109"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t="0.75" hidden="1" customHeight="1" spans="1:45">
      <c r="A12" s="45"/>
      <c r="B12" s="45"/>
      <c r="C12" s="45"/>
      <c r="D12" s="45"/>
      <c r="E12" s="1039"/>
      <c r="F12" s="1039"/>
      <c r="G12" s="1039"/>
      <c r="H12" s="1038"/>
      <c r="I12" s="45"/>
      <c r="J12" s="45"/>
      <c r="K12" s="45"/>
      <c r="L12" s="1040"/>
      <c r="M12" s="46"/>
      <c r="N12" s="46"/>
      <c r="O12" s="37"/>
      <c r="P12" s="80"/>
      <c r="Q12" s="108"/>
      <c r="R12" s="81"/>
      <c r="S12" s="1065"/>
      <c r="T12" s="1066"/>
      <c r="U12" s="1067"/>
      <c r="V12" s="1067"/>
      <c r="W12" s="1067"/>
      <c r="X12" s="1067"/>
      <c r="Y12" s="1067"/>
      <c r="Z12" s="1067"/>
      <c r="AA12" s="1067"/>
      <c r="AB12" s="1067"/>
      <c r="AC12" s="1067"/>
      <c r="AD12" s="1067"/>
      <c r="AE12" s="1067"/>
      <c r="AF12" s="1067"/>
      <c r="AG12" s="1067"/>
      <c r="AH12" s="1067"/>
      <c r="AI12" s="1067"/>
      <c r="AJ12" s="1067"/>
      <c r="AK12" s="1067"/>
      <c r="AL12" s="1067"/>
      <c r="AM12" s="1109"/>
      <c r="AO12" s="150"/>
      <c r="AP12" s="150" t="str">
        <f t="shared" si="0"/>
        <v/>
      </c>
      <c r="AQ12" s="150"/>
      <c r="AR12" s="150"/>
      <c r="AS12" s="42">
        <v>0</v>
      </c>
    </row>
    <row r="13" s="43" customFormat="1" ht="0.75"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t="0.75" hidden="1" customHeight="1" spans="1:45">
      <c r="A14" s="587"/>
      <c r="B14" s="587"/>
      <c r="C14" s="587"/>
      <c r="D14" s="587"/>
      <c r="E14" s="1039"/>
      <c r="F14" s="1038"/>
      <c r="G14" s="587"/>
      <c r="H14" s="587"/>
      <c r="I14" s="587"/>
      <c r="J14" s="587"/>
      <c r="K14" s="587"/>
      <c r="L14" s="608"/>
      <c r="M14" s="1045"/>
      <c r="N14" s="1045"/>
      <c r="P14" s="151"/>
      <c r="Q14" s="1068"/>
      <c r="R14" s="151"/>
      <c r="S14" s="1070"/>
      <c r="T14" s="1154" t="s">
        <v>251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t="0.75" hidden="1" customHeight="1" spans="1:45">
      <c r="A15" s="587"/>
      <c r="B15" s="587"/>
      <c r="C15" s="587"/>
      <c r="D15" s="587"/>
      <c r="E15" s="1038"/>
      <c r="F15" s="587"/>
      <c r="G15" s="587"/>
      <c r="H15" s="587"/>
      <c r="I15" s="587"/>
      <c r="J15" s="587"/>
      <c r="K15" s="587"/>
      <c r="L15" s="608"/>
      <c r="M15" s="1045"/>
      <c r="N15" s="1045"/>
      <c r="P15" s="151"/>
      <c r="Q15" s="1068"/>
      <c r="R15" s="151"/>
      <c r="S15" s="1070"/>
      <c r="T15" s="1071" t="s">
        <v>252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54.75" customHeight="1" spans="17:45">
      <c r="Q26" s="50"/>
      <c r="R26" s="50"/>
      <c r="S26" s="9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968"/>
      <c r="U26" s="968"/>
      <c r="V26" s="968"/>
      <c r="W26" s="968"/>
      <c r="X26" s="968"/>
      <c r="Y26" s="968"/>
      <c r="Z26" s="968"/>
      <c r="AA26" s="968"/>
      <c r="AB26" s="968"/>
      <c r="AC26" s="968"/>
      <c r="AD26" s="968"/>
      <c r="AE26" s="968"/>
      <c r="AF26" s="968"/>
      <c r="AG26" s="968"/>
      <c r="AH26" s="968"/>
      <c r="AI26" s="968"/>
      <c r="AJ26" s="968"/>
      <c r="AK26" s="120"/>
      <c r="AS26" s="42">
        <v>52</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РТ по тарифам</v>
      </c>
      <c r="W29" s="59"/>
      <c r="X29" s="59"/>
      <c r="Y29" s="59"/>
      <c r="Z29" s="59"/>
      <c r="AA29" s="59"/>
      <c r="AB29" s="59"/>
      <c r="AC29" s="42"/>
      <c r="AD29" s="59" t="str">
        <f>IF(TITLE_NAME_OR_PR_CHANGE="",IF(TITLE_NAME_OR_PR="","",TITLE_NAME_OR_PR),TITLE_NAME_OR_PR_CHANGE)</f>
        <v>Государственный комитет РТ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108-73/тп-2024</v>
      </c>
      <c r="W31" s="59"/>
      <c r="X31" s="59"/>
      <c r="Y31" s="59"/>
      <c r="Z31" s="59"/>
      <c r="AA31" s="59"/>
      <c r="AB31" s="59"/>
      <c r="AC31" s="42"/>
      <c r="AD31" s="59" t="str">
        <f>IF(TITLE_NUMBER_PR_CHANGE="",IF(TITLE_NUMBER_PR="","",TITLE_NUMBER_PR),TITLE_NUMBER_PR_CHANGE)</f>
        <v>108-73/тп-2024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
Республики Татарстан"</v>
      </c>
      <c r="W32" s="59"/>
      <c r="X32" s="59"/>
      <c r="Y32" s="59"/>
      <c r="Z32" s="59"/>
      <c r="AA32" s="59"/>
      <c r="AB32" s="59"/>
      <c r="AC32" s="42"/>
      <c r="AD32" s="59" t="str">
        <f>IF(TITLE_IST_PUB_CHANGE="",IF(TITLE_IST_PUB="","",TITLE_IST_PUB),TITLE_IST_PUB_CHANGE)</f>
        <v>"Официальный портал правовой информации
Республики Татарстан"</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18.7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108-73/тп-2024</v>
      </c>
      <c r="W35" s="59"/>
      <c r="X35" s="59"/>
      <c r="Y35" s="59"/>
      <c r="Z35" s="59"/>
      <c r="AA35" s="59"/>
      <c r="AB35" s="59"/>
      <c r="AC35" s="42"/>
      <c r="AD35" s="59" t="str">
        <f>IF(TITLE_NUMBER_PR_CHANGE="",IF(TITLE_NUMBER_PR="","",TITLE_NUMBER_PR),TITLE_NUMBER_PR_CHANGE)</f>
        <v>108-73/тп-2024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c r="X40" s="125" t="s">
        <v>438</v>
      </c>
      <c r="Y40" s="126"/>
      <c r="Z40" s="125" t="s">
        <v>439</v>
      </c>
      <c r="AA40" s="127"/>
      <c r="AB40" s="126"/>
      <c r="AC40" s="128"/>
      <c r="AD40" s="70" t="s">
        <v>452</v>
      </c>
      <c r="AE40" s="1167"/>
      <c r="AF40" s="125" t="s">
        <v>438</v>
      </c>
      <c r="AG40" s="126"/>
      <c r="AH40" s="125" t="s">
        <v>439</v>
      </c>
      <c r="AI40" s="127"/>
      <c r="AJ40" s="126"/>
      <c r="AK40" s="128"/>
      <c r="AL40" s="129"/>
      <c r="AM40" s="63"/>
      <c r="AS40" s="42">
        <v>34</v>
      </c>
    </row>
    <row r="41" ht="35.7"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5" t="s">
        <v>182</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5" t="s">
        <v>182</v>
      </c>
      <c r="B44" s="45" t="s">
        <v>183</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5" t="s">
        <v>182</v>
      </c>
      <c r="B45" s="45" t="s">
        <v>183</v>
      </c>
      <c r="C45" s="45" t="s">
        <v>184</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5" t="s">
        <v>182</v>
      </c>
      <c r="B46" s="45" t="s">
        <v>183</v>
      </c>
      <c r="C46" s="45" t="s">
        <v>184</v>
      </c>
      <c r="D46" s="45" t="s">
        <v>185</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s="43" customFormat="1" hidden="1" customHeight="1" spans="1:45">
      <c r="A47" s="587" t="s">
        <v>182</v>
      </c>
      <c r="B47" s="587" t="s">
        <v>183</v>
      </c>
      <c r="C47" s="587" t="s">
        <v>184</v>
      </c>
      <c r="D47" s="587" t="s">
        <v>185</v>
      </c>
      <c r="E47" s="1039"/>
      <c r="F47" s="1039"/>
      <c r="G47" s="1039"/>
      <c r="H47" s="1039"/>
      <c r="I47" s="228" t="str">
        <f>S46&amp;".1"</f>
        <v>....1</v>
      </c>
      <c r="J47" s="587"/>
      <c r="K47" s="587"/>
      <c r="L47" s="608" t="s">
        <v>408</v>
      </c>
      <c r="M47" s="1043"/>
      <c r="N47" s="1043"/>
      <c r="O47" s="1043"/>
      <c r="P47" s="92">
        <v>1</v>
      </c>
      <c r="Q47" s="92"/>
      <c r="R47" s="93"/>
      <c r="S47" s="329"/>
      <c r="T47" s="1053"/>
      <c r="U47" s="1051"/>
      <c r="V47" s="1078"/>
      <c r="W47" s="1052"/>
      <c r="X47" s="1052"/>
      <c r="Y47" s="1052"/>
      <c r="Z47" s="1052"/>
      <c r="AA47" s="1052"/>
      <c r="AB47" s="1052"/>
      <c r="AC47" s="1077"/>
      <c r="AD47" s="1078"/>
      <c r="AE47" s="1052"/>
      <c r="AF47" s="1052"/>
      <c r="AG47" s="1052"/>
      <c r="AH47" s="1052"/>
      <c r="AI47" s="1052"/>
      <c r="AJ47" s="1052"/>
      <c r="AK47" s="1052"/>
      <c r="AL47" s="1077"/>
      <c r="AM47" s="981"/>
      <c r="AO47" s="150"/>
      <c r="AP47" s="150" t="str">
        <f t="shared" si="1"/>
        <v/>
      </c>
      <c r="AQ47" s="150"/>
      <c r="AR47" s="150"/>
      <c r="AS47" s="43">
        <v>0</v>
      </c>
    </row>
    <row r="48" ht="22.05" customHeight="1" spans="1:45">
      <c r="A48" s="45" t="s">
        <v>182</v>
      </c>
      <c r="B48" s="45" t="s">
        <v>183</v>
      </c>
      <c r="C48" s="45" t="s">
        <v>184</v>
      </c>
      <c r="D48" s="45" t="s">
        <v>185</v>
      </c>
      <c r="E48" s="1039"/>
      <c r="F48" s="1039"/>
      <c r="G48" s="1039"/>
      <c r="H48" s="1039"/>
      <c r="I48" s="1044"/>
      <c r="J48" s="228" t="str">
        <f>S46&amp;".1"</f>
        <v>....1</v>
      </c>
      <c r="K48" s="45"/>
      <c r="L48" s="1040" t="s">
        <v>411</v>
      </c>
      <c r="P48" s="92"/>
      <c r="Q48" s="92">
        <v>1</v>
      </c>
      <c r="R48" s="96"/>
      <c r="S48" s="64" t="str">
        <f>$J48</f>
        <v>....1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5" t="s">
        <v>182</v>
      </c>
      <c r="B49" s="45" t="s">
        <v>183</v>
      </c>
      <c r="C49" s="45" t="s">
        <v>184</v>
      </c>
      <c r="D49" s="45" t="s">
        <v>185</v>
      </c>
      <c r="E49" s="1039"/>
      <c r="F49" s="1039"/>
      <c r="G49" s="1039"/>
      <c r="H49" s="1039"/>
      <c r="I49" s="1044"/>
      <c r="J49" s="1044"/>
      <c r="K49" s="228" t="str">
        <f>J48&amp;".1"</f>
        <v>....1.1</v>
      </c>
      <c r="L49" s="1040" t="s">
        <v>414</v>
      </c>
      <c r="P49" s="92"/>
      <c r="Q49" s="92"/>
      <c r="R49" s="96">
        <v>1</v>
      </c>
      <c r="S49" s="64" t="str">
        <f>$K49</f>
        <v>....1.1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453</v>
      </c>
      <c r="AN49" s="43" t="e">
        <f>STRCHECKDATE(V50:AL50)</f>
        <v>#NAME?</v>
      </c>
      <c r="AO49" s="150"/>
      <c r="AP49" s="150" t="str">
        <f t="shared" si="1"/>
        <v/>
      </c>
      <c r="AQ49" s="150"/>
      <c r="AR49" s="150"/>
      <c r="AS49" s="42">
        <v>21</v>
      </c>
    </row>
    <row r="50" ht="1.05" customHeight="1" spans="1:45">
      <c r="A50" s="45" t="s">
        <v>182</v>
      </c>
      <c r="B50" s="45" t="s">
        <v>183</v>
      </c>
      <c r="C50" s="45" t="s">
        <v>184</v>
      </c>
      <c r="D50" s="45" t="s">
        <v>185</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1</v>
      </c>
    </row>
    <row r="51" ht="11.55" customHeight="1" spans="1:45">
      <c r="A51" s="45" t="s">
        <v>182</v>
      </c>
      <c r="B51" s="45" t="s">
        <v>183</v>
      </c>
      <c r="C51" s="45" t="s">
        <v>184</v>
      </c>
      <c r="D51" s="45" t="s">
        <v>185</v>
      </c>
      <c r="E51" s="1039"/>
      <c r="F51" s="1039"/>
      <c r="G51" s="1039"/>
      <c r="H51" s="1039"/>
      <c r="I51" s="1044"/>
      <c r="J51" s="228"/>
      <c r="K51" s="45"/>
      <c r="L51" s="1040"/>
      <c r="P51" s="92"/>
      <c r="Q51" s="92"/>
      <c r="R51" s="93"/>
      <c r="S51" s="104"/>
      <c r="T51" s="107"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182</v>
      </c>
      <c r="B52" s="45" t="s">
        <v>183</v>
      </c>
      <c r="C52" s="45" t="s">
        <v>184</v>
      </c>
      <c r="D52" s="45" t="s">
        <v>185</v>
      </c>
      <c r="E52" s="1039"/>
      <c r="F52" s="1039"/>
      <c r="G52" s="1039"/>
      <c r="H52" s="1039"/>
      <c r="I52" s="228"/>
      <c r="J52" s="45"/>
      <c r="K52" s="45"/>
      <c r="L52" s="1040"/>
      <c r="P52" s="92"/>
      <c r="Q52" s="92"/>
      <c r="R52" s="93"/>
      <c r="S52" s="104"/>
      <c r="T52" s="109"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idden="1" customHeight="1" spans="1:45">
      <c r="A53" s="45" t="s">
        <v>182</v>
      </c>
      <c r="B53" s="45" t="s">
        <v>183</v>
      </c>
      <c r="C53" s="45" t="s">
        <v>184</v>
      </c>
      <c r="D53" s="45" t="s">
        <v>185</v>
      </c>
      <c r="E53" s="1039"/>
      <c r="F53" s="1039"/>
      <c r="G53" s="1039"/>
      <c r="H53" s="1038"/>
      <c r="I53" s="45"/>
      <c r="J53" s="45"/>
      <c r="K53" s="45"/>
      <c r="L53" s="1040"/>
      <c r="M53" s="46"/>
      <c r="N53" s="46"/>
      <c r="O53" s="37"/>
      <c r="P53" s="80"/>
      <c r="Q53" s="108"/>
      <c r="R53" s="81"/>
      <c r="S53" s="1065"/>
      <c r="T53" s="1066"/>
      <c r="U53" s="1067"/>
      <c r="V53" s="1067"/>
      <c r="W53" s="1067"/>
      <c r="X53" s="1067"/>
      <c r="Y53" s="1067"/>
      <c r="Z53" s="1067"/>
      <c r="AA53" s="1067"/>
      <c r="AB53" s="1067"/>
      <c r="AC53" s="1067"/>
      <c r="AD53" s="1067"/>
      <c r="AE53" s="1067"/>
      <c r="AF53" s="1067"/>
      <c r="AG53" s="1067"/>
      <c r="AH53" s="1067"/>
      <c r="AI53" s="1067"/>
      <c r="AJ53" s="1067"/>
      <c r="AK53" s="1067"/>
      <c r="AL53" s="1067"/>
      <c r="AM53" s="1109"/>
      <c r="AO53" s="150"/>
      <c r="AP53" s="150" t="str">
        <f t="shared" si="1"/>
        <v/>
      </c>
      <c r="AQ53" s="150"/>
      <c r="AR53" s="150"/>
      <c r="AS53" s="42">
        <v>0</v>
      </c>
    </row>
    <row r="54" s="43" customFormat="1" ht="1.05" customHeight="1" spans="1:45">
      <c r="A54" s="587" t="s">
        <v>182</v>
      </c>
      <c r="B54" s="587" t="s">
        <v>183</v>
      </c>
      <c r="C54" s="587" t="s">
        <v>184</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1</v>
      </c>
    </row>
    <row r="55" s="43" customFormat="1" ht="1.05" customHeight="1" spans="1:45">
      <c r="A55" s="587" t="s">
        <v>182</v>
      </c>
      <c r="B55" s="587" t="s">
        <v>183</v>
      </c>
      <c r="C55" s="587"/>
      <c r="D55" s="587"/>
      <c r="E55" s="1039"/>
      <c r="F55" s="1038"/>
      <c r="G55" s="587"/>
      <c r="H55" s="587"/>
      <c r="I55" s="587"/>
      <c r="J55" s="587"/>
      <c r="K55" s="587"/>
      <c r="L55" s="608"/>
      <c r="M55" s="1045"/>
      <c r="N55" s="1045"/>
      <c r="P55" s="151"/>
      <c r="Q55" s="1068"/>
      <c r="R55" s="151"/>
      <c r="S55" s="1070"/>
      <c r="T55" s="1071" t="s">
        <v>251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1</v>
      </c>
    </row>
    <row r="56" s="43" customFormat="1" ht="1.05" customHeight="1" spans="1:45">
      <c r="A56" s="587" t="s">
        <v>182</v>
      </c>
      <c r="B56" s="587"/>
      <c r="C56" s="587"/>
      <c r="D56" s="587"/>
      <c r="E56" s="1038"/>
      <c r="F56" s="587"/>
      <c r="G56" s="587"/>
      <c r="H56" s="587"/>
      <c r="I56" s="587"/>
      <c r="J56" s="587"/>
      <c r="K56" s="587"/>
      <c r="L56" s="608"/>
      <c r="M56" s="1045"/>
      <c r="N56" s="1045"/>
      <c r="P56" s="151"/>
      <c r="Q56" s="1068"/>
      <c r="R56" s="151"/>
      <c r="S56" s="1070"/>
      <c r="T56" s="1071" t="s">
        <v>252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1</v>
      </c>
    </row>
    <row r="57" s="43" customFormat="1" ht="1.05" customHeight="1" spans="1:45">
      <c r="A57" s="587"/>
      <c r="B57" s="587"/>
      <c r="C57" s="587"/>
      <c r="D57" s="587"/>
      <c r="E57" s="587"/>
      <c r="F57" s="587"/>
      <c r="G57" s="587"/>
      <c r="H57" s="587"/>
      <c r="I57" s="587"/>
      <c r="J57" s="587"/>
      <c r="K57" s="587"/>
      <c r="L57" s="608"/>
      <c r="M57" s="1045"/>
      <c r="N57" s="1045"/>
      <c r="P57" s="151"/>
      <c r="Q57" s="1068"/>
      <c r="R57" s="151"/>
      <c r="S57" s="1070"/>
      <c r="T57" s="1071" t="s">
        <v>253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1</v>
      </c>
    </row>
    <row r="58" ht="11.55" customHeight="1" spans="13:45">
      <c r="M58" s="37"/>
      <c r="N58" s="37"/>
      <c r="O58" s="37"/>
      <c r="P58" s="42"/>
      <c r="Q58" s="42"/>
      <c r="R58" s="42"/>
      <c r="S58" s="42"/>
      <c r="AN58" s="42"/>
      <c r="AO58" s="42"/>
      <c r="AP58" s="42"/>
      <c r="AQ58" s="42"/>
      <c r="AR58" s="42"/>
      <c r="AS58" s="42">
        <v>11</v>
      </c>
    </row>
    <row r="59" ht="23.25"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22</v>
      </c>
    </row>
    <row r="60" ht="30.45"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29</v>
      </c>
    </row>
    <row r="61" ht="42" customHeight="1" spans="15:45">
      <c r="O61" s="37"/>
      <c r="T61" s="119"/>
      <c r="U61" s="119"/>
      <c r="V61" s="119"/>
      <c r="W61" s="119"/>
      <c r="X61" s="119"/>
      <c r="Y61" s="119"/>
      <c r="Z61" s="119"/>
      <c r="AA61" s="119"/>
      <c r="AB61" s="119"/>
      <c r="AC61" s="119"/>
      <c r="AD61" s="119"/>
      <c r="AE61" s="119"/>
      <c r="AF61" s="119"/>
      <c r="AG61" s="119"/>
      <c r="AH61" s="119"/>
      <c r="AI61" s="119"/>
      <c r="AJ61" s="119"/>
      <c r="AK61" s="119"/>
      <c r="AL61" s="119"/>
      <c r="AM61" s="119"/>
      <c r="AS61" s="42">
        <v>40</v>
      </c>
    </row>
    <row r="62" ht="14.7" customHeight="1" spans="15:45">
      <c r="O62" s="37"/>
      <c r="AS62" s="42">
        <v>14</v>
      </c>
    </row>
    <row r="63" ht="21" customHeight="1" spans="15:45">
      <c r="O63" s="37"/>
      <c r="S63" s="781"/>
      <c r="T63" s="1168"/>
      <c r="U63" s="119"/>
      <c r="V63" s="119"/>
      <c r="W63" s="119"/>
      <c r="X63" s="119"/>
      <c r="Y63" s="119"/>
      <c r="Z63" s="119"/>
      <c r="AA63" s="119"/>
      <c r="AB63" s="119"/>
      <c r="AC63" s="119"/>
      <c r="AD63" s="119"/>
      <c r="AE63" s="119"/>
      <c r="AF63" s="119"/>
      <c r="AG63" s="119"/>
      <c r="AH63" s="119"/>
      <c r="AI63" s="119"/>
      <c r="AJ63" s="119"/>
      <c r="AK63" s="119"/>
      <c r="AL63" s="119"/>
      <c r="AM63" s="119"/>
      <c r="AS63" s="42">
        <v>20</v>
      </c>
    </row>
    <row r="64" ht="29.25" customHeight="1" spans="15:45">
      <c r="O64" s="37"/>
      <c r="T64" s="119"/>
      <c r="U64" s="119"/>
      <c r="V64" s="119"/>
      <c r="W64" s="119"/>
      <c r="X64" s="119"/>
      <c r="Y64" s="119"/>
      <c r="Z64" s="119"/>
      <c r="AA64" s="119"/>
      <c r="AB64" s="119"/>
      <c r="AC64" s="119"/>
      <c r="AD64" s="119"/>
      <c r="AE64" s="119"/>
      <c r="AF64" s="119"/>
      <c r="AG64" s="119"/>
      <c r="AH64" s="119"/>
      <c r="AI64" s="119"/>
      <c r="AJ64" s="119"/>
      <c r="AK64" s="119"/>
      <c r="AL64" s="119"/>
      <c r="AM64" s="119"/>
      <c r="AS64" s="42">
        <v>28</v>
      </c>
    </row>
    <row r="65" ht="35.7" customHeight="1" spans="20:45">
      <c r="T65" s="119"/>
      <c r="U65" s="119"/>
      <c r="V65" s="119"/>
      <c r="W65" s="119"/>
      <c r="X65" s="119"/>
      <c r="Y65" s="119"/>
      <c r="Z65" s="119"/>
      <c r="AA65" s="119"/>
      <c r="AB65" s="119"/>
      <c r="AC65" s="119"/>
      <c r="AD65" s="119"/>
      <c r="AE65" s="119"/>
      <c r="AF65" s="119"/>
      <c r="AG65" s="119"/>
      <c r="AH65" s="119"/>
      <c r="AI65" s="119"/>
      <c r="AJ65" s="119"/>
      <c r="AK65" s="119"/>
      <c r="AL65" s="119"/>
      <c r="AM65" s="119"/>
      <c r="AS65" s="42">
        <v>34</v>
      </c>
    </row>
    <row r="66" ht="22.5" hidden="1" customHeight="1" spans="1:45">
      <c r="A66" s="37" t="s">
        <v>83</v>
      </c>
      <c r="B66" s="37">
        <v>0</v>
      </c>
      <c r="C66" s="37">
        <v>0</v>
      </c>
      <c r="D66" s="37">
        <v>0</v>
      </c>
      <c r="E66" s="37">
        <v>0</v>
      </c>
      <c r="F66" s="37">
        <v>0</v>
      </c>
      <c r="G66" s="37">
        <v>0</v>
      </c>
      <c r="H66" s="37">
        <v>0</v>
      </c>
      <c r="I66" s="37">
        <v>0</v>
      </c>
      <c r="J66" s="37">
        <v>0</v>
      </c>
      <c r="K66" s="37">
        <v>0</v>
      </c>
      <c r="L66" s="47">
        <v>0</v>
      </c>
      <c r="M66" s="38">
        <v>0</v>
      </c>
      <c r="N66" s="38">
        <v>0</v>
      </c>
      <c r="O66" s="38">
        <v>0</v>
      </c>
      <c r="P66" s="39">
        <v>0</v>
      </c>
      <c r="Q66" s="40">
        <v>3</v>
      </c>
      <c r="R66" s="40">
        <v>3</v>
      </c>
      <c r="S66" s="41">
        <v>12</v>
      </c>
      <c r="T66" s="42">
        <v>31</v>
      </c>
      <c r="U66" s="42">
        <v>0</v>
      </c>
      <c r="V66" s="42">
        <v>0</v>
      </c>
      <c r="W66" s="42">
        <v>0</v>
      </c>
      <c r="X66" s="42">
        <v>0</v>
      </c>
      <c r="Y66" s="42">
        <v>0</v>
      </c>
      <c r="Z66" s="42">
        <v>0</v>
      </c>
      <c r="AA66" s="42">
        <v>0</v>
      </c>
      <c r="AB66" s="42">
        <v>0</v>
      </c>
      <c r="AC66" s="42">
        <v>0</v>
      </c>
      <c r="AD66" s="42">
        <v>24</v>
      </c>
      <c r="AE66" s="42">
        <v>0</v>
      </c>
      <c r="AF66" s="42">
        <v>24</v>
      </c>
      <c r="AG66" s="42">
        <v>24</v>
      </c>
      <c r="AH66" s="42">
        <v>11</v>
      </c>
      <c r="AI66" s="42">
        <v>3</v>
      </c>
      <c r="AJ66" s="42">
        <v>11</v>
      </c>
      <c r="AK66" s="42">
        <v>0</v>
      </c>
      <c r="AL66" s="42">
        <v>4</v>
      </c>
      <c r="AM66" s="42">
        <v>115</v>
      </c>
      <c r="AN66" s="43">
        <v>10</v>
      </c>
      <c r="AO66" s="43">
        <v>10</v>
      </c>
      <c r="AP66" s="43">
        <v>10</v>
      </c>
      <c r="AQ66" s="43">
        <v>10</v>
      </c>
      <c r="AR66" s="43">
        <v>10</v>
      </c>
      <c r="AS66" s="42">
        <v>23</v>
      </c>
    </row>
  </sheetData>
  <sheetProtection formatColumns="0" formatRows="0" insertRows="0" deleteColumns="0" deleteRows="0" sort="0" autoFilter="0"/>
  <mergeCells count="113">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1:AM61"/>
    <mergeCell ref="T63:AM63"/>
    <mergeCell ref="T64:AM64"/>
    <mergeCell ref="T65:AM65"/>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S66"/>
  <sheetViews>
    <sheetView showGridLines="0" zoomScale="90" zoomScaleNormal="90" workbookViewId="0">
      <pane xSplit="29" ySplit="42" topLeftCell="AD43"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9" hidden="1" customWidth="1"/>
    <col min="17" max="18" width="3" style="40" customWidth="1"/>
    <col min="19" max="19" width="12" style="41" customWidth="1"/>
    <col min="20" max="20" width="31" style="42" customWidth="1"/>
    <col min="21" max="21" width="0.142857142857143" style="42" customWidth="1"/>
    <col min="22" max="22" width="24.7142857142857" style="42" hidden="1" customWidth="1"/>
    <col min="23" max="23" width="0.142857142857143" style="42" hidden="1" customWidth="1"/>
    <col min="24" max="25" width="24.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24.7142857142857" style="42" customWidth="1"/>
    <col min="31" max="31" width="0.142857142857143" style="42" customWidth="1"/>
    <col min="32" max="33" width="24" style="42" customWidth="1"/>
    <col min="34" max="34" width="11" style="42" customWidth="1"/>
    <col min="35" max="35" width="3.71428571428571" style="42" customWidth="1"/>
    <col min="36" max="36" width="11" style="42" customWidth="1"/>
    <col min="37" max="37" width="8.57142857142857" style="42" hidden="1" customWidth="1"/>
    <col min="38" max="38" width="4" style="42" customWidth="1"/>
    <col min="39" max="39" width="115" style="42" customWidth="1"/>
    <col min="40" max="44" width="10" style="43" customWidth="1"/>
    <col min="45" max="45" width="10.5714285714286" style="42" hidden="1"/>
  </cols>
  <sheetData>
    <row r="1" ht="22.5" hidden="1" customHeight="1" spans="45:45">
      <c r="AS1" s="42" t="s">
        <v>14</v>
      </c>
    </row>
    <row r="2" ht="21" hidden="1" customHeight="1" spans="1:45">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75"/>
      <c r="AD2" s="1076" t="e">
        <f>INDEX(PT_DIFFERENTIATION_NTAR,MATCH(A2,PT_DIFFERENTIATION_NTAR_ID,0))</f>
        <v>#N/A</v>
      </c>
      <c r="AE2" s="1047"/>
      <c r="AF2" s="1047"/>
      <c r="AG2" s="1047"/>
      <c r="AH2" s="1047"/>
      <c r="AI2" s="1047"/>
      <c r="AJ2" s="1047"/>
      <c r="AK2" s="1047"/>
      <c r="AL2" s="1075"/>
      <c r="AM2" s="135" t="s">
        <v>401</v>
      </c>
      <c r="AO2" s="150"/>
      <c r="AP2" s="150" t="str">
        <f t="shared" ref="AP2:AP15" si="0">IF(T2="","",T2)</f>
        <v>Наименование тарифа</v>
      </c>
      <c r="AQ2" s="150"/>
      <c r="AR2" s="150"/>
      <c r="AS2" s="42">
        <v>0</v>
      </c>
    </row>
    <row r="3" ht="21" hidden="1" customHeight="1" spans="1:45">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75"/>
      <c r="AD3" s="1076" t="e">
        <f>INDEX(PT_DIFFERENTIATION_TER,MATCH(B3,PT_DIFFERENTIATION_TER_ID,0))</f>
        <v>#N/A</v>
      </c>
      <c r="AE3" s="1047"/>
      <c r="AF3" s="1047"/>
      <c r="AG3" s="1047"/>
      <c r="AH3" s="1047"/>
      <c r="AI3" s="1047"/>
      <c r="AJ3" s="1047"/>
      <c r="AK3" s="1047"/>
      <c r="AL3" s="1075"/>
      <c r="AM3" s="135" t="s">
        <v>403</v>
      </c>
      <c r="AO3" s="150"/>
      <c r="AP3" s="150" t="str">
        <f t="shared" si="0"/>
        <v>Территория действия тарифа</v>
      </c>
      <c r="AQ3" s="150"/>
      <c r="AR3" s="150"/>
      <c r="AS3" s="42">
        <v>0</v>
      </c>
    </row>
    <row r="4" ht="23.25" hidden="1" customHeight="1" spans="1:45">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404</v>
      </c>
      <c r="U4" s="83"/>
      <c r="V4" s="1076"/>
      <c r="W4" s="1047"/>
      <c r="X4" s="1047"/>
      <c r="Y4" s="1047"/>
      <c r="Z4" s="1047"/>
      <c r="AA4" s="1047"/>
      <c r="AB4" s="1047"/>
      <c r="AC4" s="1075"/>
      <c r="AD4" s="1076" t="e">
        <f>INDEX(PT_DIFFERENTIATION_CS,MATCH(C4,PT_DIFFERENTIATION_CS_ID,0))</f>
        <v>#N/A</v>
      </c>
      <c r="AE4" s="1047"/>
      <c r="AF4" s="1047"/>
      <c r="AG4" s="1047"/>
      <c r="AH4" s="1047"/>
      <c r="AI4" s="1047"/>
      <c r="AJ4" s="1047"/>
      <c r="AK4" s="1047"/>
      <c r="AL4" s="1075"/>
      <c r="AM4" s="135" t="s">
        <v>405</v>
      </c>
      <c r="AO4" s="150"/>
      <c r="AP4" s="150" t="str">
        <f t="shared" si="0"/>
        <v>Наименование системы теплоснабжения </v>
      </c>
      <c r="AQ4" s="150"/>
      <c r="AR4" s="150"/>
      <c r="AS4" s="42">
        <v>0</v>
      </c>
    </row>
    <row r="5" ht="21" hidden="1" customHeight="1" spans="1:45">
      <c r="A5" s="45"/>
      <c r="B5" s="45"/>
      <c r="C5" s="45"/>
      <c r="D5" s="45"/>
      <c r="E5" s="1039"/>
      <c r="F5" s="1039"/>
      <c r="G5" s="1039"/>
      <c r="H5" s="1038">
        <v>1</v>
      </c>
      <c r="I5" s="45"/>
      <c r="J5" s="45"/>
      <c r="K5" s="45"/>
      <c r="L5" s="1040"/>
      <c r="M5" s="46"/>
      <c r="N5" s="46"/>
      <c r="O5" s="46"/>
      <c r="P5" s="89"/>
      <c r="Q5" s="86"/>
      <c r="R5" s="87"/>
      <c r="S5" s="64" t="e">
        <f>INDEX(PT_DIFFERENTIATION_NUM_IST_TE,MATCH(D5,PT_DIFFERENTIATION_IST_TE_ID,0))</f>
        <v>#N/A</v>
      </c>
      <c r="T5" s="91" t="s">
        <v>406</v>
      </c>
      <c r="U5" s="83"/>
      <c r="V5" s="1076"/>
      <c r="W5" s="1047"/>
      <c r="X5" s="1047"/>
      <c r="Y5" s="1047"/>
      <c r="Z5" s="1047"/>
      <c r="AA5" s="1047"/>
      <c r="AB5" s="1047"/>
      <c r="AC5" s="1075"/>
      <c r="AD5" s="1076" t="e">
        <f>INDEX(PT_DIFFERENTIATION_IST_TE,MATCH(D5,PT_DIFFERENTIATION_IST_TE_ID,0))</f>
        <v>#N/A</v>
      </c>
      <c r="AE5" s="1047"/>
      <c r="AF5" s="1047"/>
      <c r="AG5" s="1047"/>
      <c r="AH5" s="1047"/>
      <c r="AI5" s="1047"/>
      <c r="AJ5" s="1047"/>
      <c r="AK5" s="1047"/>
      <c r="AL5" s="1075"/>
      <c r="AM5" s="135" t="s">
        <v>407</v>
      </c>
      <c r="AO5" s="150"/>
      <c r="AP5" s="150" t="str">
        <f t="shared" si="0"/>
        <v>Источник тепловой энергии  </v>
      </c>
      <c r="AQ5" s="150"/>
      <c r="AR5" s="150"/>
      <c r="AS5" s="42">
        <v>0</v>
      </c>
    </row>
    <row r="6" hidden="1" customHeight="1" spans="1:45">
      <c r="A6" s="45"/>
      <c r="B6" s="45"/>
      <c r="C6" s="45"/>
      <c r="D6" s="45"/>
      <c r="E6" s="1039"/>
      <c r="F6" s="1039"/>
      <c r="G6" s="1039"/>
      <c r="H6" s="1039"/>
      <c r="I6" s="228" t="e">
        <f>S5&amp;".1"</f>
        <v>#N/A</v>
      </c>
      <c r="J6" s="45"/>
      <c r="K6" s="45"/>
      <c r="L6" s="1040" t="s">
        <v>408</v>
      </c>
      <c r="M6" s="37"/>
      <c r="P6" s="92">
        <v>1</v>
      </c>
      <c r="Q6" s="92"/>
      <c r="R6" s="93"/>
      <c r="S6" s="329"/>
      <c r="T6" s="1053"/>
      <c r="U6" s="1051"/>
      <c r="V6" s="1078"/>
      <c r="W6" s="1052"/>
      <c r="X6" s="1052"/>
      <c r="Y6" s="1052"/>
      <c r="Z6" s="1052"/>
      <c r="AA6" s="1052"/>
      <c r="AB6" s="1052"/>
      <c r="AC6" s="1077"/>
      <c r="AD6" s="1078"/>
      <c r="AE6" s="1052"/>
      <c r="AF6" s="1052"/>
      <c r="AG6" s="1052"/>
      <c r="AH6" s="1052"/>
      <c r="AI6" s="1052"/>
      <c r="AJ6" s="1052"/>
      <c r="AK6" s="1052"/>
      <c r="AL6" s="1077"/>
      <c r="AM6" s="981"/>
      <c r="AO6" s="150"/>
      <c r="AP6" s="150" t="str">
        <f t="shared" si="0"/>
        <v/>
      </c>
      <c r="AQ6" s="150"/>
      <c r="AR6" s="150"/>
      <c r="AS6" s="42">
        <v>0</v>
      </c>
    </row>
    <row r="7" ht="21" hidden="1" customHeight="1" spans="1:45">
      <c r="A7" s="45"/>
      <c r="B7" s="45"/>
      <c r="C7" s="45"/>
      <c r="D7" s="45"/>
      <c r="E7" s="1039"/>
      <c r="F7" s="1039"/>
      <c r="G7" s="1039"/>
      <c r="H7" s="1039"/>
      <c r="I7" s="1044"/>
      <c r="J7" s="228" t="e">
        <f>I6&amp;".1"</f>
        <v>#N/A</v>
      </c>
      <c r="K7" s="45"/>
      <c r="L7" s="1040" t="s">
        <v>411</v>
      </c>
      <c r="M7" s="37"/>
      <c r="N7" s="37"/>
      <c r="P7" s="92"/>
      <c r="Q7" s="92">
        <v>1</v>
      </c>
      <c r="R7" s="96"/>
      <c r="S7" s="64" t="e">
        <f>$J7</f>
        <v>#N/A</v>
      </c>
      <c r="T7" s="97" t="s">
        <v>412</v>
      </c>
      <c r="U7" s="83"/>
      <c r="V7" s="98"/>
      <c r="W7" s="99"/>
      <c r="X7" s="99"/>
      <c r="Y7" s="99"/>
      <c r="Z7" s="99"/>
      <c r="AA7" s="99"/>
      <c r="AB7" s="99"/>
      <c r="AC7" s="136"/>
      <c r="AD7" s="98"/>
      <c r="AE7" s="99"/>
      <c r="AF7" s="99"/>
      <c r="AG7" s="99"/>
      <c r="AH7" s="99"/>
      <c r="AI7" s="99"/>
      <c r="AJ7" s="99"/>
      <c r="AK7" s="99"/>
      <c r="AL7" s="136"/>
      <c r="AM7" s="135" t="s">
        <v>413</v>
      </c>
      <c r="AO7" s="150"/>
      <c r="AP7" s="150" t="str">
        <f t="shared" si="0"/>
        <v>Группа потребителей</v>
      </c>
      <c r="AQ7" s="150"/>
      <c r="AR7" s="150"/>
      <c r="AS7" s="42">
        <v>0</v>
      </c>
    </row>
    <row r="8" ht="21" hidden="1" customHeight="1" spans="1:45">
      <c r="A8" s="45"/>
      <c r="B8" s="45"/>
      <c r="C8" s="45"/>
      <c r="D8" s="45"/>
      <c r="E8" s="1039"/>
      <c r="F8" s="1039"/>
      <c r="G8" s="1039"/>
      <c r="H8" s="1039"/>
      <c r="I8" s="1044"/>
      <c r="J8" s="1044"/>
      <c r="K8" s="228" t="e">
        <f>J7&amp;".1"</f>
        <v>#N/A</v>
      </c>
      <c r="L8" s="1040" t="s">
        <v>414</v>
      </c>
      <c r="M8" s="37"/>
      <c r="N8" s="37"/>
      <c r="O8" s="37"/>
      <c r="P8" s="92"/>
      <c r="Q8" s="92"/>
      <c r="R8" s="96">
        <v>1</v>
      </c>
      <c r="S8" s="64" t="e">
        <f>$K8</f>
        <v>#N/A</v>
      </c>
      <c r="T8" s="100"/>
      <c r="U8" s="83"/>
      <c r="V8" s="101"/>
      <c r="W8" s="102"/>
      <c r="X8" s="101"/>
      <c r="Y8" s="137"/>
      <c r="Z8" s="138"/>
      <c r="AA8" s="139" t="s">
        <v>62</v>
      </c>
      <c r="AB8" s="138"/>
      <c r="AC8" s="139" t="s">
        <v>62</v>
      </c>
      <c r="AD8" s="101"/>
      <c r="AE8" s="102"/>
      <c r="AF8" s="101"/>
      <c r="AG8" s="137"/>
      <c r="AH8" s="138"/>
      <c r="AI8" s="139" t="s">
        <v>62</v>
      </c>
      <c r="AJ8" s="138"/>
      <c r="AK8" s="139" t="s">
        <v>62</v>
      </c>
      <c r="AL8" s="102"/>
      <c r="AM8" s="140" t="s">
        <v>415</v>
      </c>
      <c r="AN8" s="43" t="e">
        <f>STRCHECKDATE(V9:AL9)</f>
        <v>#NAME?</v>
      </c>
      <c r="AO8" s="150"/>
      <c r="AP8" s="150" t="str">
        <f t="shared" si="0"/>
        <v/>
      </c>
      <c r="AQ8" s="150"/>
      <c r="AR8" s="150"/>
      <c r="AS8" s="42">
        <v>0</v>
      </c>
    </row>
    <row r="9" hidden="1" customHeight="1" spans="1:45">
      <c r="A9" s="45"/>
      <c r="B9" s="45"/>
      <c r="C9" s="45"/>
      <c r="D9" s="45"/>
      <c r="E9" s="1039"/>
      <c r="F9" s="1039"/>
      <c r="G9" s="1039"/>
      <c r="H9" s="1039"/>
      <c r="I9" s="1044"/>
      <c r="J9" s="1044"/>
      <c r="K9" s="228"/>
      <c r="L9" s="1040"/>
      <c r="M9" s="37"/>
      <c r="N9" s="37"/>
      <c r="O9" s="37"/>
      <c r="P9" s="92"/>
      <c r="Q9" s="92"/>
      <c r="R9" s="96"/>
      <c r="S9" s="103"/>
      <c r="T9" s="83"/>
      <c r="U9" s="83"/>
      <c r="V9" s="102"/>
      <c r="W9" s="102"/>
      <c r="X9" s="102"/>
      <c r="Y9" s="141" t="str">
        <f>Z8&amp;"-"&amp;AB8</f>
        <v>-</v>
      </c>
      <c r="Z9" s="142"/>
      <c r="AA9" s="139"/>
      <c r="AB9" s="142"/>
      <c r="AC9" s="139"/>
      <c r="AD9" s="102"/>
      <c r="AE9" s="102"/>
      <c r="AF9" s="102"/>
      <c r="AG9" s="141" t="str">
        <f>AH8&amp;"-"&amp;AJ8</f>
        <v>-</v>
      </c>
      <c r="AH9" s="142"/>
      <c r="AI9" s="139"/>
      <c r="AJ9" s="142"/>
      <c r="AK9" s="139"/>
      <c r="AL9" s="102"/>
      <c r="AM9" s="143"/>
      <c r="AO9" s="150"/>
      <c r="AP9" s="150" t="str">
        <f t="shared" si="0"/>
        <v/>
      </c>
      <c r="AQ9" s="150"/>
      <c r="AR9" s="150"/>
      <c r="AS9" s="42">
        <v>0</v>
      </c>
    </row>
    <row r="10" ht="15" hidden="1" customHeight="1" spans="1:45">
      <c r="A10" s="45"/>
      <c r="B10" s="45"/>
      <c r="C10" s="45"/>
      <c r="D10" s="45"/>
      <c r="E10" s="1039"/>
      <c r="F10" s="1039"/>
      <c r="G10" s="1039"/>
      <c r="H10" s="1039"/>
      <c r="I10" s="1044"/>
      <c r="J10" s="228"/>
      <c r="K10" s="45"/>
      <c r="L10" s="1040"/>
      <c r="M10" s="37"/>
      <c r="N10" s="37"/>
      <c r="P10" s="92"/>
      <c r="Q10" s="92"/>
      <c r="R10" s="93"/>
      <c r="S10" s="104"/>
      <c r="T10" s="107" t="s">
        <v>416</v>
      </c>
      <c r="U10" s="106"/>
      <c r="V10" s="106"/>
      <c r="W10" s="106"/>
      <c r="X10" s="106"/>
      <c r="Y10" s="106"/>
      <c r="Z10" s="106"/>
      <c r="AA10" s="106"/>
      <c r="AB10" s="106"/>
      <c r="AC10" s="106"/>
      <c r="AD10" s="106"/>
      <c r="AE10" s="106"/>
      <c r="AF10" s="106"/>
      <c r="AG10" s="106"/>
      <c r="AH10" s="106"/>
      <c r="AI10" s="106"/>
      <c r="AJ10" s="106"/>
      <c r="AK10" s="106"/>
      <c r="AL10" s="144"/>
      <c r="AM10" s="145"/>
      <c r="AO10" s="150"/>
      <c r="AP10" s="150" t="str">
        <f t="shared" si="0"/>
        <v>Добавить вид теплоносителя (параметры теплоносителя)</v>
      </c>
      <c r="AQ10" s="150"/>
      <c r="AR10" s="150"/>
      <c r="AS10" s="42">
        <v>0</v>
      </c>
    </row>
    <row r="11" ht="11.25" hidden="1" customHeight="1" spans="1:45">
      <c r="A11" s="45"/>
      <c r="B11" s="45"/>
      <c r="C11" s="45"/>
      <c r="D11" s="45"/>
      <c r="E11" s="1039"/>
      <c r="F11" s="1039"/>
      <c r="G11" s="1039"/>
      <c r="H11" s="1039"/>
      <c r="I11" s="228"/>
      <c r="J11" s="45"/>
      <c r="K11" s="45"/>
      <c r="L11" s="1040"/>
      <c r="M11" s="37"/>
      <c r="P11" s="92"/>
      <c r="Q11" s="92"/>
      <c r="R11" s="93"/>
      <c r="S11" s="104"/>
      <c r="T11" s="109" t="s">
        <v>417</v>
      </c>
      <c r="U11" s="106"/>
      <c r="V11" s="106"/>
      <c r="W11" s="106"/>
      <c r="X11" s="106"/>
      <c r="Y11" s="106"/>
      <c r="Z11" s="106"/>
      <c r="AA11" s="106"/>
      <c r="AB11" s="106"/>
      <c r="AC11" s="146"/>
      <c r="AD11" s="106"/>
      <c r="AE11" s="106"/>
      <c r="AF11" s="106"/>
      <c r="AG11" s="106"/>
      <c r="AH11" s="106"/>
      <c r="AI11" s="106"/>
      <c r="AJ11" s="106"/>
      <c r="AK11" s="146"/>
      <c r="AL11" s="106"/>
      <c r="AM11" s="147"/>
      <c r="AO11" s="150"/>
      <c r="AP11" s="150" t="str">
        <f t="shared" si="0"/>
        <v>Добавить группу потребителей</v>
      </c>
      <c r="AQ11" s="150"/>
      <c r="AR11" s="150"/>
      <c r="AS11" s="42">
        <v>0</v>
      </c>
    </row>
    <row r="12" hidden="1" customHeight="1" spans="1:45">
      <c r="A12" s="45"/>
      <c r="B12" s="45"/>
      <c r="C12" s="45"/>
      <c r="D12" s="45"/>
      <c r="E12" s="1039"/>
      <c r="F12" s="1039"/>
      <c r="G12" s="1039"/>
      <c r="H12" s="1038"/>
      <c r="I12" s="45"/>
      <c r="J12" s="45"/>
      <c r="K12" s="45"/>
      <c r="L12" s="1040"/>
      <c r="M12" s="46"/>
      <c r="N12" s="46"/>
      <c r="O12" s="37"/>
      <c r="P12" s="80"/>
      <c r="Q12" s="108"/>
      <c r="R12" s="81"/>
      <c r="S12" s="1065"/>
      <c r="T12" s="1066"/>
      <c r="U12" s="1067"/>
      <c r="V12" s="1067"/>
      <c r="W12" s="1067"/>
      <c r="X12" s="1067"/>
      <c r="Y12" s="1067"/>
      <c r="Z12" s="1067"/>
      <c r="AA12" s="1067"/>
      <c r="AB12" s="1067"/>
      <c r="AC12" s="1067"/>
      <c r="AD12" s="1067"/>
      <c r="AE12" s="1067"/>
      <c r="AF12" s="1067"/>
      <c r="AG12" s="1067"/>
      <c r="AH12" s="1067"/>
      <c r="AI12" s="1067"/>
      <c r="AJ12" s="1067"/>
      <c r="AK12" s="1067"/>
      <c r="AL12" s="1067"/>
      <c r="AM12" s="1109"/>
      <c r="AO12" s="150"/>
      <c r="AP12" s="150" t="str">
        <f t="shared" si="0"/>
        <v/>
      </c>
      <c r="AQ12" s="150"/>
      <c r="AR12" s="150"/>
      <c r="AS12" s="42">
        <v>0</v>
      </c>
    </row>
    <row r="13" s="43" customFormat="1" hidden="1" customHeight="1" spans="1:45">
      <c r="A13" s="587"/>
      <c r="B13" s="587"/>
      <c r="C13" s="587"/>
      <c r="D13" s="587"/>
      <c r="E13" s="1039"/>
      <c r="F13" s="1039"/>
      <c r="G13" s="1038"/>
      <c r="H13" s="587"/>
      <c r="I13" s="587"/>
      <c r="J13" s="587"/>
      <c r="K13" s="587"/>
      <c r="L13" s="608"/>
      <c r="M13" s="282"/>
      <c r="N13" s="282"/>
      <c r="P13" s="151"/>
      <c r="Q13" s="1068"/>
      <c r="R13" s="151"/>
      <c r="S13" s="1151"/>
      <c r="T13" s="1152" t="s">
        <v>419</v>
      </c>
      <c r="U13" s="1153"/>
      <c r="V13" s="1153"/>
      <c r="W13" s="1153"/>
      <c r="X13" s="1153"/>
      <c r="Y13" s="1153"/>
      <c r="Z13" s="1153"/>
      <c r="AA13" s="1153"/>
      <c r="AB13" s="1153"/>
      <c r="AC13" s="1153"/>
      <c r="AD13" s="1153"/>
      <c r="AE13" s="1153"/>
      <c r="AF13" s="1153"/>
      <c r="AG13" s="1153"/>
      <c r="AH13" s="1153"/>
      <c r="AI13" s="1153"/>
      <c r="AJ13" s="1153"/>
      <c r="AK13" s="1153"/>
      <c r="AL13" s="1153"/>
      <c r="AM13" s="1153"/>
      <c r="AO13" s="150"/>
      <c r="AP13" s="150" t="str">
        <f t="shared" si="0"/>
        <v>Добавить источник для дифференциации</v>
      </c>
      <c r="AQ13" s="150"/>
      <c r="AR13" s="150"/>
      <c r="AS13" s="43">
        <v>0</v>
      </c>
    </row>
    <row r="14" s="43" customFormat="1" hidden="1" customHeight="1" spans="1:45">
      <c r="A14" s="587"/>
      <c r="B14" s="587"/>
      <c r="C14" s="587"/>
      <c r="D14" s="587"/>
      <c r="E14" s="1039"/>
      <c r="F14" s="1038"/>
      <c r="G14" s="587"/>
      <c r="H14" s="587"/>
      <c r="I14" s="587"/>
      <c r="J14" s="587"/>
      <c r="K14" s="587"/>
      <c r="L14" s="608"/>
      <c r="M14" s="1045"/>
      <c r="N14" s="1045"/>
      <c r="P14" s="151"/>
      <c r="Q14" s="1068"/>
      <c r="R14" s="151"/>
      <c r="S14" s="1070"/>
      <c r="T14" s="1154" t="s">
        <v>251</v>
      </c>
      <c r="U14" s="306"/>
      <c r="V14" s="306"/>
      <c r="W14" s="306"/>
      <c r="X14" s="306"/>
      <c r="Y14" s="306"/>
      <c r="Z14" s="306"/>
      <c r="AA14" s="306"/>
      <c r="AB14" s="306"/>
      <c r="AC14" s="306"/>
      <c r="AD14" s="306"/>
      <c r="AE14" s="306"/>
      <c r="AF14" s="306"/>
      <c r="AG14" s="306"/>
      <c r="AH14" s="306"/>
      <c r="AI14" s="306"/>
      <c r="AJ14" s="306"/>
      <c r="AK14" s="306"/>
      <c r="AL14" s="306"/>
      <c r="AM14" s="306"/>
      <c r="AO14" s="150"/>
      <c r="AP14" s="150" t="str">
        <f t="shared" si="0"/>
        <v>Добавить централизованную систему для дифференциации</v>
      </c>
      <c r="AQ14" s="150"/>
      <c r="AR14" s="150"/>
      <c r="AS14" s="43">
        <v>0</v>
      </c>
    </row>
    <row r="15" s="43" customFormat="1" hidden="1" customHeight="1" spans="1:45">
      <c r="A15" s="587"/>
      <c r="B15" s="587"/>
      <c r="C15" s="587"/>
      <c r="D15" s="587"/>
      <c r="E15" s="1038"/>
      <c r="F15" s="587"/>
      <c r="G15" s="587"/>
      <c r="H15" s="587"/>
      <c r="I15" s="587"/>
      <c r="J15" s="587"/>
      <c r="K15" s="587"/>
      <c r="L15" s="608"/>
      <c r="M15" s="1045"/>
      <c r="N15" s="1045"/>
      <c r="P15" s="151"/>
      <c r="Q15" s="1068"/>
      <c r="R15" s="151"/>
      <c r="S15" s="1070"/>
      <c r="T15" s="1071" t="s">
        <v>252</v>
      </c>
      <c r="U15" s="306"/>
      <c r="V15" s="306"/>
      <c r="W15" s="306"/>
      <c r="X15" s="306"/>
      <c r="Y15" s="306"/>
      <c r="Z15" s="306"/>
      <c r="AA15" s="306"/>
      <c r="AB15" s="306"/>
      <c r="AC15" s="306"/>
      <c r="AD15" s="306"/>
      <c r="AE15" s="306"/>
      <c r="AF15" s="306"/>
      <c r="AG15" s="306"/>
      <c r="AH15" s="306"/>
      <c r="AI15" s="306"/>
      <c r="AJ15" s="306"/>
      <c r="AK15" s="306"/>
      <c r="AL15" s="306"/>
      <c r="AM15" s="306"/>
      <c r="AO15" s="150"/>
      <c r="AP15" s="150" t="str">
        <f t="shared" si="0"/>
        <v>Добавить территорию для дифференциации</v>
      </c>
      <c r="AQ15" s="150"/>
      <c r="AR15" s="150"/>
      <c r="AS15" s="43">
        <v>0</v>
      </c>
    </row>
    <row r="16" hidden="1" customHeight="1" spans="45:45">
      <c r="AS16" s="42">
        <v>0</v>
      </c>
    </row>
    <row r="17" hidden="1" customHeight="1" spans="30:45">
      <c r="AD17" s="489"/>
      <c r="AE17" s="489"/>
      <c r="AF17" s="489"/>
      <c r="AG17" s="1118"/>
      <c r="AH17" s="1119"/>
      <c r="AI17" s="352" t="s">
        <v>62</v>
      </c>
      <c r="AJ17" s="1119"/>
      <c r="AK17" s="352" t="s">
        <v>62</v>
      </c>
      <c r="AS17" s="42">
        <v>0</v>
      </c>
    </row>
    <row r="18" hidden="1" customHeight="1" spans="30:45">
      <c r="AD18" s="489"/>
      <c r="AE18" s="489"/>
      <c r="AF18" s="489"/>
      <c r="AG18" s="141" t="str">
        <f>AH17&amp;"-"&amp;AJ17</f>
        <v>-</v>
      </c>
      <c r="AH18" s="352"/>
      <c r="AI18" s="352"/>
      <c r="AJ18" s="352"/>
      <c r="AK18" s="352"/>
      <c r="AS18" s="42">
        <v>0</v>
      </c>
    </row>
    <row r="19" hidden="1" customHeight="1" spans="45:45">
      <c r="AS19" s="42">
        <v>0</v>
      </c>
    </row>
    <row r="20" s="37" customFormat="1" ht="22.5" hidden="1" customHeight="1" spans="12:45">
      <c r="L20" s="47"/>
      <c r="M20" s="38"/>
      <c r="N20" s="38"/>
      <c r="O20" s="1046" t="s">
        <v>420</v>
      </c>
      <c r="P20" s="38"/>
      <c r="Q20" s="1037"/>
      <c r="R20" s="1037"/>
      <c r="S20" s="46"/>
      <c r="Z20" s="1046"/>
      <c r="AB20" s="1046"/>
      <c r="AH20" s="1046"/>
      <c r="AJ20" s="1046"/>
      <c r="AN20" s="43"/>
      <c r="AO20" s="43"/>
      <c r="AP20" s="43"/>
      <c r="AQ20" s="43"/>
      <c r="AR20" s="43"/>
      <c r="AS20" s="37">
        <v>0</v>
      </c>
    </row>
    <row r="21" s="37" customFormat="1" hidden="1" customHeight="1" spans="12:45">
      <c r="L21" s="47"/>
      <c r="M21" s="38"/>
      <c r="N21" s="38"/>
      <c r="O21" s="38"/>
      <c r="P21" s="38"/>
      <c r="Q21" s="1037"/>
      <c r="R21" s="1037"/>
      <c r="S21" s="46"/>
      <c r="AN21" s="43"/>
      <c r="AO21" s="43"/>
      <c r="AP21" s="43"/>
      <c r="AQ21" s="43"/>
      <c r="AR21" s="43"/>
      <c r="AS21" s="37">
        <v>0</v>
      </c>
    </row>
    <row r="22" s="37" customFormat="1" hidden="1" customHeight="1" spans="12:45">
      <c r="L22" s="47"/>
      <c r="M22" s="38"/>
      <c r="N22" s="38"/>
      <c r="O22" s="1040" t="s">
        <v>421</v>
      </c>
      <c r="P22" s="38"/>
      <c r="Q22" s="1037"/>
      <c r="R22" s="1037"/>
      <c r="S22" s="46"/>
      <c r="T22" s="37" t="s">
        <v>422</v>
      </c>
      <c r="AA22" s="44" t="s">
        <v>423</v>
      </c>
      <c r="AC22" s="44" t="s">
        <v>424</v>
      </c>
      <c r="AD22" s="37" t="s">
        <v>422</v>
      </c>
      <c r="AI22" s="44" t="s">
        <v>425</v>
      </c>
      <c r="AK22" s="44" t="s">
        <v>424</v>
      </c>
      <c r="AN22" s="43"/>
      <c r="AO22" s="43"/>
      <c r="AP22" s="43"/>
      <c r="AQ22" s="43"/>
      <c r="AR22" s="43"/>
      <c r="AS22" s="37">
        <v>0</v>
      </c>
    </row>
    <row r="23" hidden="1" customHeight="1" spans="15:45">
      <c r="O23" s="1040"/>
      <c r="AS23" s="42">
        <v>0</v>
      </c>
    </row>
    <row r="24" hidden="1" customHeight="1" spans="15:45">
      <c r="O24" s="1040"/>
      <c r="AS24" s="42">
        <v>0</v>
      </c>
    </row>
    <row r="25" ht="14.7" customHeight="1" spans="17:45">
      <c r="Q25" s="50"/>
      <c r="R25" s="50"/>
      <c r="S25" s="51"/>
      <c r="T25" s="52"/>
      <c r="U25" s="52"/>
      <c r="AS25" s="42">
        <v>14</v>
      </c>
    </row>
    <row r="26" ht="53.55" customHeight="1" spans="17:45">
      <c r="Q26" s="50"/>
      <c r="R26" s="50"/>
      <c r="S26" s="75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750"/>
      <c r="U26" s="750"/>
      <c r="V26" s="750"/>
      <c r="W26" s="750"/>
      <c r="X26" s="750"/>
      <c r="Y26" s="750"/>
      <c r="Z26" s="750"/>
      <c r="AA26" s="750"/>
      <c r="AB26" s="750"/>
      <c r="AC26" s="750"/>
      <c r="AD26" s="750"/>
      <c r="AE26" s="750"/>
      <c r="AF26" s="750"/>
      <c r="AG26" s="750"/>
      <c r="AH26" s="750"/>
      <c r="AI26" s="750"/>
      <c r="AJ26" s="750"/>
      <c r="AK26" s="120"/>
      <c r="AS26" s="42">
        <v>51</v>
      </c>
    </row>
    <row r="27" ht="14.7" customHeight="1" spans="17:45">
      <c r="Q27" s="50"/>
      <c r="R27" s="50"/>
      <c r="S27" s="657" t="str">
        <f>IF(org=0,"Не определено",org)</f>
        <v>АО "ОЭЗ ППТ "Алабуга"</v>
      </c>
      <c r="T27" s="657"/>
      <c r="U27" s="657"/>
      <c r="V27" s="657"/>
      <c r="W27" s="657"/>
      <c r="X27" s="657"/>
      <c r="Y27" s="657"/>
      <c r="Z27" s="657"/>
      <c r="AA27" s="657"/>
      <c r="AB27" s="657"/>
      <c r="AC27" s="657"/>
      <c r="AD27" s="657"/>
      <c r="AE27" s="657"/>
      <c r="AF27" s="657"/>
      <c r="AG27" s="657"/>
      <c r="AH27" s="657"/>
      <c r="AI27" s="657"/>
      <c r="AJ27" s="657"/>
      <c r="AK27" s="120"/>
      <c r="AS27" s="42">
        <v>14</v>
      </c>
    </row>
    <row r="28" customHeight="1" spans="17:45">
      <c r="Q28" s="50"/>
      <c r="R28" s="50"/>
      <c r="S28" s="51"/>
      <c r="T28" s="52"/>
      <c r="U28" s="52"/>
      <c r="V28" s="55"/>
      <c r="W28" s="55"/>
      <c r="X28" s="55"/>
      <c r="Y28" s="55"/>
      <c r="Z28" s="55"/>
      <c r="AA28" s="55"/>
      <c r="AB28" s="55"/>
      <c r="AC28" s="55"/>
      <c r="AD28" s="55"/>
      <c r="AE28" s="55"/>
      <c r="AF28" s="55"/>
      <c r="AG28" s="55"/>
      <c r="AH28" s="55"/>
      <c r="AI28" s="55"/>
      <c r="AJ28" s="55"/>
      <c r="AK28" s="55"/>
      <c r="AS28" s="42">
        <v>0</v>
      </c>
    </row>
    <row r="29" s="35" customFormat="1" ht="25.5" customHeight="1" spans="1:45">
      <c r="A29" s="44"/>
      <c r="B29" s="44"/>
      <c r="C29" s="44"/>
      <c r="D29" s="44"/>
      <c r="E29" s="44"/>
      <c r="F29" s="44"/>
      <c r="G29" s="44"/>
      <c r="H29" s="44"/>
      <c r="I29" s="44"/>
      <c r="J29" s="44"/>
      <c r="K29" s="44"/>
      <c r="L29" s="1040"/>
      <c r="M29" s="44"/>
      <c r="N29" s="44"/>
      <c r="O29" s="44"/>
      <c r="S29" s="57" t="s">
        <v>42</v>
      </c>
      <c r="T29" s="57"/>
      <c r="U29" s="1074"/>
      <c r="V29" s="59" t="str">
        <f>IF(TITLE_NAME_OR_PR_CHANGE="",IF(TITLE_NAME_OR_PR="","",TITLE_NAME_OR_PR),TITLE_NAME_OR_PR_CHANGE)</f>
        <v>Государственный комитет РТ по тарифам</v>
      </c>
      <c r="W29" s="59"/>
      <c r="X29" s="59"/>
      <c r="Y29" s="59"/>
      <c r="Z29" s="59"/>
      <c r="AA29" s="59"/>
      <c r="AB29" s="59"/>
      <c r="AC29" s="42"/>
      <c r="AD29" s="59" t="str">
        <f>IF(TITLE_NAME_OR_PR_CHANGE="",IF(TITLE_NAME_OR_PR="","",TITLE_NAME_OR_PR),TITLE_NAME_OR_PR_CHANGE)</f>
        <v>Государственный комитет РТ по тарифам</v>
      </c>
      <c r="AE29" s="59"/>
      <c r="AF29" s="59"/>
      <c r="AG29" s="59"/>
      <c r="AH29" s="59"/>
      <c r="AI29" s="59"/>
      <c r="AJ29" s="59"/>
      <c r="AK29" s="42"/>
      <c r="AL29" s="42"/>
      <c r="AM29" s="121"/>
      <c r="AN29" s="150"/>
      <c r="AO29" s="150"/>
      <c r="AP29" s="150"/>
      <c r="AQ29" s="150"/>
      <c r="AR29" s="150"/>
      <c r="AS29" s="35">
        <v>0</v>
      </c>
    </row>
    <row r="30" s="35" customFormat="1" ht="18.75" customHeight="1" spans="1:45">
      <c r="A30" s="44"/>
      <c r="B30" s="44"/>
      <c r="C30" s="44"/>
      <c r="D30" s="44"/>
      <c r="E30" s="44"/>
      <c r="F30" s="44"/>
      <c r="G30" s="44"/>
      <c r="H30" s="44"/>
      <c r="I30" s="44"/>
      <c r="J30" s="44"/>
      <c r="K30" s="44"/>
      <c r="L30" s="1040"/>
      <c r="M30" s="44"/>
      <c r="N30" s="44"/>
      <c r="O30" s="44"/>
      <c r="S30" s="57" t="s">
        <v>426</v>
      </c>
      <c r="T30" s="57"/>
      <c r="U30" s="1074"/>
      <c r="V30" s="788">
        <f>IF(TITLE_DATE_PR_CHANGE="",IF(TITLE_DATE_PR="","",TITLE_DATE_PR),TITLE_DATE_PR_CHANGE)</f>
        <v>45525</v>
      </c>
      <c r="W30" s="788"/>
      <c r="X30" s="788"/>
      <c r="Y30" s="788"/>
      <c r="Z30" s="788"/>
      <c r="AA30" s="788"/>
      <c r="AB30" s="788"/>
      <c r="AC30" s="42"/>
      <c r="AD30" s="788">
        <f>IF(TITLE_DATE_PR_CHANGE="",IF(TITLE_DATE_PR="","",TITLE_DATE_PR),TITLE_DATE_PR_CHANGE)</f>
        <v>45525</v>
      </c>
      <c r="AE30" s="788"/>
      <c r="AF30" s="788"/>
      <c r="AG30" s="788"/>
      <c r="AH30" s="788"/>
      <c r="AI30" s="788"/>
      <c r="AJ30" s="788"/>
      <c r="AK30" s="42"/>
      <c r="AL30" s="42"/>
      <c r="AM30" s="121"/>
      <c r="AN30" s="150"/>
      <c r="AO30" s="150"/>
      <c r="AP30" s="150"/>
      <c r="AQ30" s="150"/>
      <c r="AR30" s="150"/>
      <c r="AS30" s="35">
        <v>0</v>
      </c>
    </row>
    <row r="31" s="35" customFormat="1" ht="18.75" customHeight="1" spans="1:45">
      <c r="A31" s="44"/>
      <c r="B31" s="44"/>
      <c r="C31" s="44"/>
      <c r="D31" s="44"/>
      <c r="E31" s="44"/>
      <c r="F31" s="44"/>
      <c r="G31" s="44"/>
      <c r="H31" s="44"/>
      <c r="I31" s="44"/>
      <c r="J31" s="44"/>
      <c r="K31" s="44"/>
      <c r="L31" s="1040"/>
      <c r="M31" s="44"/>
      <c r="N31" s="44"/>
      <c r="O31" s="44"/>
      <c r="S31" s="57" t="s">
        <v>427</v>
      </c>
      <c r="T31" s="57"/>
      <c r="U31" s="1074"/>
      <c r="V31" s="59" t="str">
        <f>IF(TITLE_NUMBER_PR_CHANGE="",IF(TITLE_NUMBER_PR="","",TITLE_NUMBER_PR),TITLE_NUMBER_PR_CHANGE)</f>
        <v>108-73/тп-2024</v>
      </c>
      <c r="W31" s="59"/>
      <c r="X31" s="59"/>
      <c r="Y31" s="59"/>
      <c r="Z31" s="59"/>
      <c r="AA31" s="59"/>
      <c r="AB31" s="59"/>
      <c r="AC31" s="42"/>
      <c r="AD31" s="59" t="str">
        <f>IF(TITLE_NUMBER_PR_CHANGE="",IF(TITLE_NUMBER_PR="","",TITLE_NUMBER_PR),TITLE_NUMBER_PR_CHANGE)</f>
        <v>108-73/тп-2024</v>
      </c>
      <c r="AE31" s="59"/>
      <c r="AF31" s="59"/>
      <c r="AG31" s="59"/>
      <c r="AH31" s="59"/>
      <c r="AI31" s="59"/>
      <c r="AJ31" s="59"/>
      <c r="AK31" s="42"/>
      <c r="AL31" s="42"/>
      <c r="AM31" s="121"/>
      <c r="AN31" s="150"/>
      <c r="AO31" s="150"/>
      <c r="AP31" s="150"/>
      <c r="AQ31" s="150"/>
      <c r="AR31" s="150"/>
      <c r="AS31" s="35">
        <v>0</v>
      </c>
    </row>
    <row r="32" s="35" customFormat="1" ht="18.75" customHeight="1" spans="1:45">
      <c r="A32" s="44"/>
      <c r="B32" s="44"/>
      <c r="C32" s="44"/>
      <c r="D32" s="44"/>
      <c r="E32" s="44"/>
      <c r="F32" s="44"/>
      <c r="G32" s="44"/>
      <c r="H32" s="44"/>
      <c r="I32" s="44"/>
      <c r="J32" s="44"/>
      <c r="K32" s="44"/>
      <c r="L32" s="1040"/>
      <c r="M32" s="44"/>
      <c r="N32" s="44"/>
      <c r="O32" s="44"/>
      <c r="S32" s="57" t="s">
        <v>44</v>
      </c>
      <c r="T32" s="57"/>
      <c r="U32" s="1074"/>
      <c r="V32" s="59" t="str">
        <f>IF(TITLE_IST_PUB_CHANGE="",IF(TITLE_IST_PUB="","",TITLE_IST_PUB),TITLE_IST_PUB_CHANGE)</f>
        <v>"Официальный портал правовой информации
Республики Татарстан"</v>
      </c>
      <c r="W32" s="59"/>
      <c r="X32" s="59"/>
      <c r="Y32" s="59"/>
      <c r="Z32" s="59"/>
      <c r="AA32" s="59"/>
      <c r="AB32" s="59"/>
      <c r="AC32" s="42"/>
      <c r="AD32" s="59" t="str">
        <f>IF(TITLE_IST_PUB_CHANGE="",IF(TITLE_IST_PUB="","",TITLE_IST_PUB),TITLE_IST_PUB_CHANGE)</f>
        <v>"Официальный портал правовой информации
Республики Татарстан"</v>
      </c>
      <c r="AE32" s="59"/>
      <c r="AF32" s="59"/>
      <c r="AG32" s="59"/>
      <c r="AH32" s="59"/>
      <c r="AI32" s="59"/>
      <c r="AJ32" s="59"/>
      <c r="AK32" s="42"/>
      <c r="AL32" s="42"/>
      <c r="AM32" s="121"/>
      <c r="AN32" s="150"/>
      <c r="AO32" s="150"/>
      <c r="AP32" s="150"/>
      <c r="AQ32" s="150"/>
      <c r="AR32" s="150"/>
      <c r="AS32" s="35">
        <v>0</v>
      </c>
    </row>
    <row r="33" hidden="1" customHeight="1" spans="17:45">
      <c r="Q33" s="50"/>
      <c r="R33" s="50"/>
      <c r="S33" s="51"/>
      <c r="T33" s="52"/>
      <c r="U33" s="52"/>
      <c r="V33" s="55"/>
      <c r="W33" s="55"/>
      <c r="X33" s="55"/>
      <c r="Y33" s="55"/>
      <c r="Z33" s="55"/>
      <c r="AA33" s="55"/>
      <c r="AB33" s="55"/>
      <c r="AC33" s="55"/>
      <c r="AD33" s="55"/>
      <c r="AE33" s="55"/>
      <c r="AF33" s="55"/>
      <c r="AG33" s="55"/>
      <c r="AH33" s="55"/>
      <c r="AI33" s="55"/>
      <c r="AJ33" s="55"/>
      <c r="AK33" s="55"/>
      <c r="AS33" s="42">
        <v>0</v>
      </c>
    </row>
    <row r="34" s="35" customFormat="1" ht="18.75" hidden="1" customHeight="1" spans="1:45">
      <c r="A34" s="44"/>
      <c r="B34" s="44"/>
      <c r="C34" s="44"/>
      <c r="D34" s="44"/>
      <c r="E34" s="44"/>
      <c r="F34" s="44"/>
      <c r="G34" s="44"/>
      <c r="H34" s="44"/>
      <c r="I34" s="44"/>
      <c r="J34" s="44"/>
      <c r="K34" s="44"/>
      <c r="L34" s="1040"/>
      <c r="M34" s="44"/>
      <c r="N34" s="44"/>
      <c r="O34" s="44"/>
      <c r="S34" s="57" t="s">
        <v>428</v>
      </c>
      <c r="T34" s="57"/>
      <c r="U34" s="1074"/>
      <c r="V34" s="788">
        <f>IF(TITLE_DATE_PR_CHANGE="",IF(TITLE_DATE_PR="","",TITLE_DATE_PR),TITLE_DATE_PR_CHANGE)</f>
        <v>45525</v>
      </c>
      <c r="W34" s="788"/>
      <c r="X34" s="788"/>
      <c r="Y34" s="788"/>
      <c r="Z34" s="788"/>
      <c r="AA34" s="788"/>
      <c r="AB34" s="788"/>
      <c r="AC34" s="42"/>
      <c r="AD34" s="788">
        <f>IF(TITLE_DATE_PR_CHANGE="",IF(TITLE_DATE_PR="","",TITLE_DATE_PR),TITLE_DATE_PR_CHANGE)</f>
        <v>45525</v>
      </c>
      <c r="AE34" s="788"/>
      <c r="AF34" s="788"/>
      <c r="AG34" s="788"/>
      <c r="AH34" s="788"/>
      <c r="AI34" s="788"/>
      <c r="AJ34" s="788"/>
      <c r="AK34" s="42"/>
      <c r="AL34" s="42"/>
      <c r="AM34" s="121"/>
      <c r="AN34" s="150"/>
      <c r="AO34" s="150"/>
      <c r="AP34" s="150"/>
      <c r="AQ34" s="150"/>
      <c r="AR34" s="150"/>
      <c r="AS34" s="35">
        <v>0</v>
      </c>
    </row>
    <row r="35" s="35" customFormat="1" ht="25.5" hidden="1" customHeight="1" spans="1:45">
      <c r="A35" s="44"/>
      <c r="B35" s="44"/>
      <c r="C35" s="44"/>
      <c r="D35" s="44"/>
      <c r="E35" s="44"/>
      <c r="F35" s="44"/>
      <c r="G35" s="44"/>
      <c r="H35" s="44"/>
      <c r="I35" s="44"/>
      <c r="J35" s="44"/>
      <c r="K35" s="44"/>
      <c r="L35" s="1040"/>
      <c r="M35" s="44"/>
      <c r="N35" s="44"/>
      <c r="O35" s="44"/>
      <c r="S35" s="57" t="s">
        <v>429</v>
      </c>
      <c r="T35" s="57"/>
      <c r="U35" s="1074"/>
      <c r="V35" s="59" t="str">
        <f>IF(TITLE_NUMBER_PR_CHANGE="",IF(TITLE_NUMBER_PR="","",TITLE_NUMBER_PR),TITLE_NUMBER_PR_CHANGE)</f>
        <v>108-73/тп-2024</v>
      </c>
      <c r="W35" s="59"/>
      <c r="X35" s="59"/>
      <c r="Y35" s="59"/>
      <c r="Z35" s="59"/>
      <c r="AA35" s="59"/>
      <c r="AB35" s="59"/>
      <c r="AC35" s="42"/>
      <c r="AD35" s="59" t="str">
        <f>IF(TITLE_NUMBER_PR_CHANGE="",IF(TITLE_NUMBER_PR="","",TITLE_NUMBER_PR),TITLE_NUMBER_PR_CHANGE)</f>
        <v>108-73/тп-2024</v>
      </c>
      <c r="AE35" s="59"/>
      <c r="AF35" s="59"/>
      <c r="AG35" s="59"/>
      <c r="AH35" s="59"/>
      <c r="AI35" s="59"/>
      <c r="AJ35" s="59"/>
      <c r="AK35" s="42"/>
      <c r="AL35" s="42"/>
      <c r="AM35" s="121"/>
      <c r="AN35" s="150"/>
      <c r="AO35" s="150"/>
      <c r="AP35" s="150"/>
      <c r="AQ35" s="150"/>
      <c r="AR35" s="150"/>
      <c r="AS35" s="35">
        <v>0</v>
      </c>
    </row>
    <row r="36" s="35" customFormat="1" hidden="1" customHeight="1" spans="1:45">
      <c r="A36" s="44"/>
      <c r="B36" s="44"/>
      <c r="C36" s="44"/>
      <c r="D36" s="44"/>
      <c r="E36" s="44"/>
      <c r="F36" s="44"/>
      <c r="G36" s="44"/>
      <c r="H36" s="44"/>
      <c r="I36" s="44"/>
      <c r="J36" s="44"/>
      <c r="K36" s="44"/>
      <c r="L36" s="1040"/>
      <c r="M36" s="44"/>
      <c r="N36" s="44"/>
      <c r="O36" s="44"/>
      <c r="S36" s="42"/>
      <c r="T36" s="42"/>
      <c r="U36" s="60"/>
      <c r="V36" s="42"/>
      <c r="W36" s="42"/>
      <c r="X36" s="42"/>
      <c r="Y36" s="42"/>
      <c r="Z36" s="42"/>
      <c r="AA36" s="42"/>
      <c r="AB36" s="42"/>
      <c r="AC36" s="43" t="s">
        <v>430</v>
      </c>
      <c r="AD36" s="42"/>
      <c r="AE36" s="42"/>
      <c r="AF36" s="42"/>
      <c r="AG36" s="42"/>
      <c r="AH36" s="42"/>
      <c r="AI36" s="42"/>
      <c r="AJ36" s="42"/>
      <c r="AK36" s="43" t="s">
        <v>430</v>
      </c>
      <c r="AN36" s="150"/>
      <c r="AO36" s="150"/>
      <c r="AP36" s="150"/>
      <c r="AQ36" s="150"/>
      <c r="AR36" s="150"/>
      <c r="AS36" s="35">
        <v>0</v>
      </c>
    </row>
    <row r="37" ht="14.7" customHeight="1" spans="17:45">
      <c r="Q37" s="50"/>
      <c r="R37" s="50"/>
      <c r="S37" s="51"/>
      <c r="T37" s="52"/>
      <c r="U37" s="61"/>
      <c r="V37" s="62"/>
      <c r="W37" s="62"/>
      <c r="X37" s="62"/>
      <c r="Y37" s="62"/>
      <c r="Z37" s="62"/>
      <c r="AA37" s="62"/>
      <c r="AB37" s="62"/>
      <c r="AC37" s="62"/>
      <c r="AD37" s="62"/>
      <c r="AE37" s="62"/>
      <c r="AF37" s="62"/>
      <c r="AG37" s="62"/>
      <c r="AH37" s="62"/>
      <c r="AI37" s="62"/>
      <c r="AJ37" s="62"/>
      <c r="AK37" s="62"/>
      <c r="AS37" s="42">
        <v>14</v>
      </c>
    </row>
    <row r="38" ht="14.7" customHeight="1" spans="17:45">
      <c r="Q38" s="50"/>
      <c r="R38" s="50"/>
      <c r="S38" s="63" t="s">
        <v>305</v>
      </c>
      <c r="T38" s="63"/>
      <c r="U38" s="63"/>
      <c r="V38" s="63"/>
      <c r="W38" s="63"/>
      <c r="X38" s="63"/>
      <c r="Y38" s="63"/>
      <c r="Z38" s="63"/>
      <c r="AA38" s="63"/>
      <c r="AB38" s="63"/>
      <c r="AC38" s="63"/>
      <c r="AD38" s="63"/>
      <c r="AE38" s="63"/>
      <c r="AF38" s="63"/>
      <c r="AG38" s="63"/>
      <c r="AH38" s="63"/>
      <c r="AI38" s="63"/>
      <c r="AJ38" s="63"/>
      <c r="AK38" s="63"/>
      <c r="AL38" s="63"/>
      <c r="AM38" s="63" t="s">
        <v>306</v>
      </c>
      <c r="AS38" s="42">
        <v>14</v>
      </c>
    </row>
    <row r="39" ht="14.7" customHeight="1" spans="17:45">
      <c r="Q39" s="50"/>
      <c r="R39" s="50"/>
      <c r="S39" s="64" t="s">
        <v>89</v>
      </c>
      <c r="T39" s="65" t="s">
        <v>431</v>
      </c>
      <c r="U39" s="66"/>
      <c r="V39" s="67" t="s">
        <v>432</v>
      </c>
      <c r="W39" s="68"/>
      <c r="X39" s="68"/>
      <c r="Y39" s="68"/>
      <c r="Z39" s="68"/>
      <c r="AA39" s="68"/>
      <c r="AB39" s="122"/>
      <c r="AC39" s="123" t="s">
        <v>433</v>
      </c>
      <c r="AD39" s="67" t="s">
        <v>432</v>
      </c>
      <c r="AE39" s="68"/>
      <c r="AF39" s="68"/>
      <c r="AG39" s="68"/>
      <c r="AH39" s="68"/>
      <c r="AI39" s="68"/>
      <c r="AJ39" s="122"/>
      <c r="AK39" s="123" t="s">
        <v>434</v>
      </c>
      <c r="AL39" s="124" t="s">
        <v>435</v>
      </c>
      <c r="AM39" s="63"/>
      <c r="AS39" s="42">
        <v>14</v>
      </c>
    </row>
    <row r="40" ht="35.7" customHeight="1" spans="17:45">
      <c r="Q40" s="50"/>
      <c r="R40" s="50"/>
      <c r="S40" s="64"/>
      <c r="T40" s="65"/>
      <c r="U40" s="69"/>
      <c r="V40" s="70" t="s">
        <v>436</v>
      </c>
      <c r="W40" s="1167"/>
      <c r="X40" s="125" t="s">
        <v>438</v>
      </c>
      <c r="Y40" s="126"/>
      <c r="Z40" s="125" t="s">
        <v>439</v>
      </c>
      <c r="AA40" s="127"/>
      <c r="AB40" s="126"/>
      <c r="AC40" s="128"/>
      <c r="AD40" s="70" t="s">
        <v>452</v>
      </c>
      <c r="AE40" s="1167"/>
      <c r="AF40" s="125" t="s">
        <v>438</v>
      </c>
      <c r="AG40" s="126"/>
      <c r="AH40" s="125" t="s">
        <v>439</v>
      </c>
      <c r="AI40" s="127"/>
      <c r="AJ40" s="126"/>
      <c r="AK40" s="128"/>
      <c r="AL40" s="129"/>
      <c r="AM40" s="63"/>
      <c r="AS40" s="42">
        <v>34</v>
      </c>
    </row>
    <row r="41" ht="35.7" customHeight="1" spans="1:45">
      <c r="A41" s="44"/>
      <c r="B41" s="44" t="s">
        <v>137</v>
      </c>
      <c r="C41" s="44" t="s">
        <v>138</v>
      </c>
      <c r="D41" s="44" t="s">
        <v>139</v>
      </c>
      <c r="E41" s="1040" t="s">
        <v>440</v>
      </c>
      <c r="F41" s="1040" t="s">
        <v>441</v>
      </c>
      <c r="G41" s="1040" t="s">
        <v>442</v>
      </c>
      <c r="H41" s="1040" t="s">
        <v>443</v>
      </c>
      <c r="I41" s="1040" t="s">
        <v>444</v>
      </c>
      <c r="J41" s="1040" t="s">
        <v>445</v>
      </c>
      <c r="K41" s="1040" t="s">
        <v>446</v>
      </c>
      <c r="L41" s="1040" t="s">
        <v>421</v>
      </c>
      <c r="Q41" s="50"/>
      <c r="R41" s="50"/>
      <c r="S41" s="64"/>
      <c r="T41" s="65"/>
      <c r="U41" s="71"/>
      <c r="V41" s="72"/>
      <c r="W41" s="221"/>
      <c r="X41" s="130" t="s">
        <v>447</v>
      </c>
      <c r="Y41" s="130" t="s">
        <v>448</v>
      </c>
      <c r="Z41" s="130" t="s">
        <v>449</v>
      </c>
      <c r="AA41" s="131" t="s">
        <v>450</v>
      </c>
      <c r="AB41" s="132"/>
      <c r="AC41" s="133"/>
      <c r="AD41" s="72"/>
      <c r="AE41" s="221"/>
      <c r="AF41" s="130" t="s">
        <v>447</v>
      </c>
      <c r="AG41" s="130" t="s">
        <v>448</v>
      </c>
      <c r="AH41" s="130" t="s">
        <v>449</v>
      </c>
      <c r="AI41" s="131" t="s">
        <v>450</v>
      </c>
      <c r="AJ41" s="132"/>
      <c r="AK41" s="133"/>
      <c r="AL41" s="134"/>
      <c r="AM41" s="63"/>
      <c r="AS41" s="42">
        <v>34</v>
      </c>
    </row>
    <row r="42" s="36" customFormat="1" ht="11.25" hidden="1" customHeight="1" spans="1:45">
      <c r="A42" s="44"/>
      <c r="B42" s="44"/>
      <c r="C42" s="44"/>
      <c r="D42" s="44"/>
      <c r="E42" s="44"/>
      <c r="F42" s="44"/>
      <c r="G42" s="44"/>
      <c r="H42" s="44"/>
      <c r="I42" s="44"/>
      <c r="J42" s="44"/>
      <c r="K42" s="44"/>
      <c r="L42" s="1040"/>
      <c r="M42" s="38"/>
      <c r="N42" s="38"/>
      <c r="O42" s="38"/>
      <c r="P42" s="73"/>
      <c r="Q42" s="74"/>
      <c r="R42" s="75">
        <v>1</v>
      </c>
      <c r="S42" s="76" t="s">
        <v>111</v>
      </c>
      <c r="T42" s="77" t="s">
        <v>112</v>
      </c>
      <c r="U42" s="78" t="str">
        <f ca="1">OFFSET(U42,0,-1)</f>
        <v>2</v>
      </c>
      <c r="V42" s="79">
        <f ca="1">OFFSET(V42,0,-1)+1</f>
        <v>3</v>
      </c>
      <c r="W42" s="79"/>
      <c r="X42" s="79">
        <f ca="1">OFFSET(X42,0,-1)+1</f>
        <v>1</v>
      </c>
      <c r="Y42" s="79">
        <f ca="1">OFFSET(Y42,0,-1)+1</f>
        <v>2</v>
      </c>
      <c r="Z42" s="79">
        <f ca="1">OFFSET(Z42,0,-1)+1</f>
        <v>3</v>
      </c>
      <c r="AA42" s="79">
        <f ca="1">OFFSET(AA42,0,-1)+1</f>
        <v>4</v>
      </c>
      <c r="AB42" s="79"/>
      <c r="AC42" s="79">
        <f ca="1">OFFSET(AC42,0,-2)+1</f>
        <v>5</v>
      </c>
      <c r="AD42" s="79">
        <f ca="1">OFFSET(AD42,0,-1)+1</f>
        <v>6</v>
      </c>
      <c r="AE42" s="79"/>
      <c r="AF42" s="79">
        <f ca="1">OFFSET(AF42,0,-1)+1</f>
        <v>1</v>
      </c>
      <c r="AG42" s="79">
        <f ca="1">OFFSET(AG42,0,-1)+1</f>
        <v>2</v>
      </c>
      <c r="AH42" s="79">
        <f ca="1">OFFSET(AH42,0,-1)+1</f>
        <v>3</v>
      </c>
      <c r="AI42" s="79">
        <f ca="1">OFFSET(AI42,0,-1)+1</f>
        <v>4</v>
      </c>
      <c r="AJ42" s="79"/>
      <c r="AK42" s="79">
        <f ca="1">OFFSET(AK42,0,-2)+1</f>
        <v>5</v>
      </c>
      <c r="AL42" s="78">
        <f ca="1">OFFSET(AL42,0,-1)</f>
        <v>5</v>
      </c>
      <c r="AM42" s="79">
        <f ca="1">OFFSET(AM42,0,-1)+1</f>
        <v>6</v>
      </c>
      <c r="AN42" s="43"/>
      <c r="AO42" s="43"/>
      <c r="AP42" s="43"/>
      <c r="AQ42" s="43"/>
      <c r="AR42" s="43"/>
      <c r="AS42" s="36">
        <v>0</v>
      </c>
    </row>
    <row r="43" ht="22.05" customHeight="1" spans="1:45">
      <c r="A43" s="45" t="s">
        <v>188</v>
      </c>
      <c r="B43" s="45"/>
      <c r="C43" s="45"/>
      <c r="D43" s="45"/>
      <c r="E43" s="1038">
        <v>1</v>
      </c>
      <c r="F43" s="45"/>
      <c r="G43" s="45"/>
      <c r="H43" s="45"/>
      <c r="I43" s="45"/>
      <c r="J43" s="45"/>
      <c r="K43" s="45"/>
      <c r="L43" s="1040"/>
      <c r="M43" s="46"/>
      <c r="N43" s="46"/>
      <c r="O43" s="46"/>
      <c r="Q43" s="80"/>
      <c r="R43" s="81"/>
      <c r="S43" s="64">
        <f>INDEX(PT_DIFFERENTIATION_NUM_NTAR,MATCH(A43,PT_DIFFERENTIATION_NTAR_ID,0))</f>
        <v>0</v>
      </c>
      <c r="T43" s="82" t="s">
        <v>125</v>
      </c>
      <c r="U43" s="83"/>
      <c r="V43" s="1076"/>
      <c r="W43" s="1047"/>
      <c r="X43" s="1047"/>
      <c r="Y43" s="1047"/>
      <c r="Z43" s="1047"/>
      <c r="AA43" s="1047"/>
      <c r="AB43" s="1047"/>
      <c r="AC43" s="1075"/>
      <c r="AD43" s="1076" t="str">
        <f>INDEX(PT_DIFFERENTIATION_NTAR,MATCH(A43,PT_DIFFERENTIATION_NTAR_ID,0))</f>
        <v/>
      </c>
      <c r="AE43" s="1047"/>
      <c r="AF43" s="1047"/>
      <c r="AG43" s="1047"/>
      <c r="AH43" s="1047"/>
      <c r="AI43" s="1047"/>
      <c r="AJ43" s="1047"/>
      <c r="AK43" s="1047"/>
      <c r="AL43" s="1075"/>
      <c r="AM43" s="13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0"/>
      <c r="AP43" s="150" t="str">
        <f t="shared" ref="AP43:AP57" si="1">IF(T43="","",T43)</f>
        <v>Наименование тарифа</v>
      </c>
      <c r="AQ43" s="150"/>
      <c r="AR43" s="150"/>
      <c r="AS43" s="42">
        <v>21</v>
      </c>
    </row>
    <row r="44" ht="22.05" customHeight="1" spans="1:45">
      <c r="A44" s="45" t="s">
        <v>188</v>
      </c>
      <c r="B44" s="45" t="s">
        <v>189</v>
      </c>
      <c r="C44" s="45"/>
      <c r="D44" s="45"/>
      <c r="E44" s="1039"/>
      <c r="F44" s="1038">
        <v>1</v>
      </c>
      <c r="G44" s="45"/>
      <c r="H44" s="45"/>
      <c r="I44" s="45"/>
      <c r="J44" s="45"/>
      <c r="K44" s="45"/>
      <c r="L44" s="1040"/>
      <c r="M44" s="46"/>
      <c r="N44" s="46"/>
      <c r="O44" s="46"/>
      <c r="P44" s="85"/>
      <c r="Q44" s="86"/>
      <c r="R44" s="87"/>
      <c r="S44" s="64" t="str">
        <f>INDEX(PT_DIFFERENTIATION_NUM_TER,MATCH(B44,PT_DIFFERENTIATION_TER_ID,0))</f>
        <v>.</v>
      </c>
      <c r="T44" s="88" t="s">
        <v>402</v>
      </c>
      <c r="U44" s="83"/>
      <c r="V44" s="1076"/>
      <c r="W44" s="1047"/>
      <c r="X44" s="1047"/>
      <c r="Y44" s="1047"/>
      <c r="Z44" s="1047"/>
      <c r="AA44" s="1047"/>
      <c r="AB44" s="1047"/>
      <c r="AC44" s="1075"/>
      <c r="AD44" s="1076" t="str">
        <f>INDEX(PT_DIFFERENTIATION_TER,MATCH(B44,PT_DIFFERENTIATION_TER_ID,0))</f>
        <v/>
      </c>
      <c r="AE44" s="1047"/>
      <c r="AF44" s="1047"/>
      <c r="AG44" s="1047"/>
      <c r="AH44" s="1047"/>
      <c r="AI44" s="1047"/>
      <c r="AJ44" s="1047"/>
      <c r="AK44" s="1047"/>
      <c r="AL44" s="1075"/>
      <c r="AM44" s="135" t="s">
        <v>403</v>
      </c>
      <c r="AO44" s="150"/>
      <c r="AP44" s="150" t="str">
        <f t="shared" si="1"/>
        <v>Территория действия тарифа</v>
      </c>
      <c r="AQ44" s="150"/>
      <c r="AR44" s="150"/>
      <c r="AS44" s="42">
        <v>21</v>
      </c>
    </row>
    <row r="45" ht="24" customHeight="1" spans="1:45">
      <c r="A45" s="45" t="s">
        <v>188</v>
      </c>
      <c r="B45" s="45" t="s">
        <v>189</v>
      </c>
      <c r="C45" s="45" t="s">
        <v>190</v>
      </c>
      <c r="D45" s="45"/>
      <c r="E45" s="1039"/>
      <c r="F45" s="1039"/>
      <c r="G45" s="1038">
        <v>1</v>
      </c>
      <c r="H45" s="45"/>
      <c r="I45" s="45"/>
      <c r="J45" s="45"/>
      <c r="K45" s="45"/>
      <c r="L45" s="1040"/>
      <c r="M45" s="46"/>
      <c r="N45" s="46"/>
      <c r="O45" s="46"/>
      <c r="P45" s="89"/>
      <c r="Q45" s="86"/>
      <c r="R45" s="87"/>
      <c r="S45" s="64" t="str">
        <f>INDEX(PT_DIFFERENTIATION_NUM_CS,MATCH(C45,PT_DIFFERENTIATION_CS_ID,0))</f>
        <v>..</v>
      </c>
      <c r="T45" s="90" t="s">
        <v>404</v>
      </c>
      <c r="U45" s="83"/>
      <c r="V45" s="1076"/>
      <c r="W45" s="1047"/>
      <c r="X45" s="1047"/>
      <c r="Y45" s="1047"/>
      <c r="Z45" s="1047"/>
      <c r="AA45" s="1047"/>
      <c r="AB45" s="1047"/>
      <c r="AC45" s="1075"/>
      <c r="AD45" s="1076" t="str">
        <f>INDEX(PT_DIFFERENTIATION_CS,MATCH(C45,PT_DIFFERENTIATION_CS_ID,0))</f>
        <v/>
      </c>
      <c r="AE45" s="1047"/>
      <c r="AF45" s="1047"/>
      <c r="AG45" s="1047"/>
      <c r="AH45" s="1047"/>
      <c r="AI45" s="1047"/>
      <c r="AJ45" s="1047"/>
      <c r="AK45" s="1047"/>
      <c r="AL45" s="1075"/>
      <c r="AM45" s="135" t="s">
        <v>405</v>
      </c>
      <c r="AO45" s="150"/>
      <c r="AP45" s="150" t="str">
        <f t="shared" si="1"/>
        <v>Наименование системы теплоснабжения </v>
      </c>
      <c r="AQ45" s="150"/>
      <c r="AR45" s="150"/>
      <c r="AS45" s="42">
        <v>23</v>
      </c>
    </row>
    <row r="46" ht="22.05" customHeight="1" spans="1:45">
      <c r="A46" s="45" t="s">
        <v>188</v>
      </c>
      <c r="B46" s="45" t="s">
        <v>189</v>
      </c>
      <c r="C46" s="45" t="s">
        <v>190</v>
      </c>
      <c r="D46" s="45" t="s">
        <v>191</v>
      </c>
      <c r="E46" s="1039"/>
      <c r="F46" s="1039"/>
      <c r="G46" s="1039"/>
      <c r="H46" s="1038">
        <v>1</v>
      </c>
      <c r="I46" s="45"/>
      <c r="J46" s="45"/>
      <c r="K46" s="45"/>
      <c r="L46" s="1040"/>
      <c r="M46" s="46"/>
      <c r="N46" s="46"/>
      <c r="O46" s="46"/>
      <c r="P46" s="89"/>
      <c r="Q46" s="86"/>
      <c r="R46" s="87"/>
      <c r="S46" s="64" t="str">
        <f>INDEX(PT_DIFFERENTIATION_NUM_IST_TE,MATCH(D46,PT_DIFFERENTIATION_IST_TE_ID,0))</f>
        <v>...</v>
      </c>
      <c r="T46" s="91" t="s">
        <v>406</v>
      </c>
      <c r="U46" s="83"/>
      <c r="V46" s="1076"/>
      <c r="W46" s="1047"/>
      <c r="X46" s="1047"/>
      <c r="Y46" s="1047"/>
      <c r="Z46" s="1047"/>
      <c r="AA46" s="1047"/>
      <c r="AB46" s="1047"/>
      <c r="AC46" s="1075"/>
      <c r="AD46" s="1076" t="str">
        <f>INDEX(PT_DIFFERENTIATION_IST_TE,MATCH(D46,PT_DIFFERENTIATION_IST_TE_ID,0))</f>
        <v/>
      </c>
      <c r="AE46" s="1047"/>
      <c r="AF46" s="1047"/>
      <c r="AG46" s="1047"/>
      <c r="AH46" s="1047"/>
      <c r="AI46" s="1047"/>
      <c r="AJ46" s="1047"/>
      <c r="AK46" s="1047"/>
      <c r="AL46" s="1075"/>
      <c r="AM46" s="135" t="s">
        <v>407</v>
      </c>
      <c r="AO46" s="150"/>
      <c r="AP46" s="150" t="str">
        <f t="shared" si="1"/>
        <v>Источник тепловой энергии  </v>
      </c>
      <c r="AQ46" s="150"/>
      <c r="AR46" s="150"/>
      <c r="AS46" s="42">
        <v>21</v>
      </c>
    </row>
    <row r="47" s="43" customFormat="1" hidden="1" customHeight="1" spans="1:45">
      <c r="A47" s="587" t="s">
        <v>188</v>
      </c>
      <c r="B47" s="587" t="s">
        <v>189</v>
      </c>
      <c r="C47" s="587" t="s">
        <v>190</v>
      </c>
      <c r="D47" s="587" t="s">
        <v>191</v>
      </c>
      <c r="E47" s="1039"/>
      <c r="F47" s="1039"/>
      <c r="G47" s="1039"/>
      <c r="H47" s="1039"/>
      <c r="I47" s="228" t="str">
        <f>S46&amp;".1"</f>
        <v>....1</v>
      </c>
      <c r="J47" s="587"/>
      <c r="K47" s="587"/>
      <c r="L47" s="608" t="s">
        <v>408</v>
      </c>
      <c r="M47" s="1043"/>
      <c r="N47" s="1043"/>
      <c r="O47" s="1043"/>
      <c r="P47" s="92">
        <v>1</v>
      </c>
      <c r="Q47" s="92"/>
      <c r="R47" s="93"/>
      <c r="S47" s="329"/>
      <c r="T47" s="1053"/>
      <c r="U47" s="1051"/>
      <c r="V47" s="1078"/>
      <c r="W47" s="1052"/>
      <c r="X47" s="1052"/>
      <c r="Y47" s="1052"/>
      <c r="Z47" s="1052"/>
      <c r="AA47" s="1052"/>
      <c r="AB47" s="1052"/>
      <c r="AC47" s="1077"/>
      <c r="AD47" s="1078"/>
      <c r="AE47" s="1052"/>
      <c r="AF47" s="1052"/>
      <c r="AG47" s="1052"/>
      <c r="AH47" s="1052"/>
      <c r="AI47" s="1052"/>
      <c r="AJ47" s="1052"/>
      <c r="AK47" s="1052"/>
      <c r="AL47" s="1077"/>
      <c r="AM47" s="981"/>
      <c r="AO47" s="150"/>
      <c r="AP47" s="150" t="str">
        <f t="shared" si="1"/>
        <v/>
      </c>
      <c r="AQ47" s="150"/>
      <c r="AR47" s="150"/>
      <c r="AS47" s="43">
        <v>0</v>
      </c>
    </row>
    <row r="48" ht="22.05" customHeight="1" spans="1:45">
      <c r="A48" s="45" t="s">
        <v>188</v>
      </c>
      <c r="B48" s="45" t="s">
        <v>189</v>
      </c>
      <c r="C48" s="45" t="s">
        <v>190</v>
      </c>
      <c r="D48" s="45" t="s">
        <v>191</v>
      </c>
      <c r="E48" s="1039"/>
      <c r="F48" s="1039"/>
      <c r="G48" s="1039"/>
      <c r="H48" s="1039"/>
      <c r="I48" s="1044"/>
      <c r="J48" s="228" t="str">
        <f>S46&amp;".1"</f>
        <v>....1</v>
      </c>
      <c r="K48" s="45"/>
      <c r="L48" s="1040" t="s">
        <v>411</v>
      </c>
      <c r="P48" s="92"/>
      <c r="Q48" s="92">
        <v>1</v>
      </c>
      <c r="R48" s="96"/>
      <c r="S48" s="64" t="str">
        <f>$J48</f>
        <v>....1</v>
      </c>
      <c r="T48" s="97" t="s">
        <v>412</v>
      </c>
      <c r="U48" s="83"/>
      <c r="V48" s="98"/>
      <c r="W48" s="99"/>
      <c r="X48" s="99"/>
      <c r="Y48" s="99"/>
      <c r="Z48" s="99"/>
      <c r="AA48" s="99"/>
      <c r="AB48" s="99"/>
      <c r="AC48" s="136"/>
      <c r="AD48" s="98"/>
      <c r="AE48" s="99"/>
      <c r="AF48" s="99"/>
      <c r="AG48" s="99"/>
      <c r="AH48" s="99"/>
      <c r="AI48" s="99"/>
      <c r="AJ48" s="99"/>
      <c r="AK48" s="99"/>
      <c r="AL48" s="136"/>
      <c r="AM48" s="135" t="s">
        <v>413</v>
      </c>
      <c r="AO48" s="150"/>
      <c r="AP48" s="150" t="str">
        <f t="shared" si="1"/>
        <v>Группа потребителей</v>
      </c>
      <c r="AQ48" s="150"/>
      <c r="AR48" s="150"/>
      <c r="AS48" s="42">
        <v>21</v>
      </c>
    </row>
    <row r="49" ht="22.05" customHeight="1" spans="1:45">
      <c r="A49" s="45" t="s">
        <v>188</v>
      </c>
      <c r="B49" s="45" t="s">
        <v>189</v>
      </c>
      <c r="C49" s="45" t="s">
        <v>190</v>
      </c>
      <c r="D49" s="45" t="s">
        <v>191</v>
      </c>
      <c r="E49" s="1039"/>
      <c r="F49" s="1039"/>
      <c r="G49" s="1039"/>
      <c r="H49" s="1039"/>
      <c r="I49" s="1044"/>
      <c r="J49" s="1044"/>
      <c r="K49" s="228" t="str">
        <f>J48&amp;".1"</f>
        <v>....1.1</v>
      </c>
      <c r="L49" s="1040" t="s">
        <v>414</v>
      </c>
      <c r="P49" s="92"/>
      <c r="Q49" s="92"/>
      <c r="R49" s="96">
        <v>1</v>
      </c>
      <c r="S49" s="64" t="str">
        <f>$K49</f>
        <v>....1.1</v>
      </c>
      <c r="T49" s="100"/>
      <c r="U49" s="83"/>
      <c r="V49" s="101"/>
      <c r="W49" s="102"/>
      <c r="X49" s="101"/>
      <c r="Y49" s="137"/>
      <c r="Z49" s="138"/>
      <c r="AA49" s="139" t="s">
        <v>62</v>
      </c>
      <c r="AB49" s="138"/>
      <c r="AC49" s="139" t="s">
        <v>62</v>
      </c>
      <c r="AD49" s="101"/>
      <c r="AE49" s="102"/>
      <c r="AF49" s="101"/>
      <c r="AG49" s="137"/>
      <c r="AH49" s="138"/>
      <c r="AI49" s="139" t="s">
        <v>62</v>
      </c>
      <c r="AJ49" s="1123"/>
      <c r="AK49" s="139" t="s">
        <v>62</v>
      </c>
      <c r="AL49" s="1106"/>
      <c r="AM49" s="140" t="s">
        <v>453</v>
      </c>
      <c r="AN49" s="43" t="e">
        <f>STRCHECKDATE(V50:AL50)</f>
        <v>#NAME?</v>
      </c>
      <c r="AO49" s="150"/>
      <c r="AP49" s="150" t="str">
        <f t="shared" si="1"/>
        <v/>
      </c>
      <c r="AQ49" s="150"/>
      <c r="AR49" s="150"/>
      <c r="AS49" s="42">
        <v>21</v>
      </c>
    </row>
    <row r="50" hidden="1" customHeight="1" spans="1:45">
      <c r="A50" s="45" t="s">
        <v>188</v>
      </c>
      <c r="B50" s="45" t="s">
        <v>189</v>
      </c>
      <c r="C50" s="45" t="s">
        <v>190</v>
      </c>
      <c r="D50" s="45" t="s">
        <v>191</v>
      </c>
      <c r="E50" s="1039"/>
      <c r="F50" s="1039"/>
      <c r="G50" s="1039"/>
      <c r="H50" s="1039"/>
      <c r="I50" s="1044"/>
      <c r="J50" s="1044"/>
      <c r="K50" s="228"/>
      <c r="L50" s="1040"/>
      <c r="P50" s="92"/>
      <c r="Q50" s="92"/>
      <c r="R50" s="96"/>
      <c r="S50" s="103"/>
      <c r="T50" s="83"/>
      <c r="U50" s="83"/>
      <c r="V50" s="102"/>
      <c r="W50" s="102"/>
      <c r="X50" s="102"/>
      <c r="Y50" s="141" t="str">
        <f>Z49&amp;"-"&amp;AB49</f>
        <v>-</v>
      </c>
      <c r="Z50" s="142"/>
      <c r="AA50" s="139"/>
      <c r="AB50" s="142"/>
      <c r="AC50" s="139"/>
      <c r="AD50" s="102"/>
      <c r="AE50" s="102"/>
      <c r="AF50" s="102"/>
      <c r="AG50" s="141" t="str">
        <f>AH49&amp;"-"&amp;AJ49</f>
        <v>-</v>
      </c>
      <c r="AH50" s="142"/>
      <c r="AI50" s="139"/>
      <c r="AJ50" s="1126"/>
      <c r="AK50" s="139"/>
      <c r="AL50" s="1148"/>
      <c r="AM50" s="143"/>
      <c r="AO50" s="150"/>
      <c r="AP50" s="150" t="str">
        <f t="shared" si="1"/>
        <v/>
      </c>
      <c r="AQ50" s="150"/>
      <c r="AR50" s="150"/>
      <c r="AS50" s="42">
        <v>0</v>
      </c>
    </row>
    <row r="51" ht="11.55" customHeight="1" spans="1:45">
      <c r="A51" s="45" t="s">
        <v>188</v>
      </c>
      <c r="B51" s="45" t="s">
        <v>189</v>
      </c>
      <c r="C51" s="45" t="s">
        <v>190</v>
      </c>
      <c r="D51" s="45" t="s">
        <v>191</v>
      </c>
      <c r="E51" s="1039"/>
      <c r="F51" s="1039"/>
      <c r="G51" s="1039"/>
      <c r="H51" s="1039"/>
      <c r="I51" s="1044"/>
      <c r="J51" s="228"/>
      <c r="K51" s="45"/>
      <c r="L51" s="1040"/>
      <c r="P51" s="92"/>
      <c r="Q51" s="92"/>
      <c r="R51" s="93"/>
      <c r="S51" s="104"/>
      <c r="T51" s="107" t="s">
        <v>416</v>
      </c>
      <c r="U51" s="106"/>
      <c r="V51" s="106"/>
      <c r="W51" s="106"/>
      <c r="X51" s="106"/>
      <c r="Y51" s="106"/>
      <c r="Z51" s="106"/>
      <c r="AA51" s="106"/>
      <c r="AB51" s="106"/>
      <c r="AC51" s="106"/>
      <c r="AD51" s="106"/>
      <c r="AE51" s="106"/>
      <c r="AF51" s="106"/>
      <c r="AG51" s="106"/>
      <c r="AH51" s="106"/>
      <c r="AI51" s="106"/>
      <c r="AJ51" s="106"/>
      <c r="AK51" s="106"/>
      <c r="AL51" s="144"/>
      <c r="AM51" s="145"/>
      <c r="AO51" s="150"/>
      <c r="AP51" s="150" t="str">
        <f t="shared" si="1"/>
        <v>Добавить вид теплоносителя (параметры теплоносителя)</v>
      </c>
      <c r="AQ51" s="150"/>
      <c r="AR51" s="150"/>
      <c r="AS51" s="42">
        <v>11</v>
      </c>
    </row>
    <row r="52" ht="11.55" customHeight="1" spans="1:45">
      <c r="A52" s="45" t="s">
        <v>188</v>
      </c>
      <c r="B52" s="45" t="s">
        <v>189</v>
      </c>
      <c r="C52" s="45" t="s">
        <v>190</v>
      </c>
      <c r="D52" s="45" t="s">
        <v>191</v>
      </c>
      <c r="E52" s="1039"/>
      <c r="F52" s="1039"/>
      <c r="G52" s="1039"/>
      <c r="H52" s="1039"/>
      <c r="I52" s="228"/>
      <c r="J52" s="45"/>
      <c r="K52" s="45"/>
      <c r="L52" s="1040"/>
      <c r="P52" s="92"/>
      <c r="Q52" s="92"/>
      <c r="R52" s="93"/>
      <c r="S52" s="104"/>
      <c r="T52" s="109" t="s">
        <v>417</v>
      </c>
      <c r="U52" s="106"/>
      <c r="V52" s="106"/>
      <c r="W52" s="106"/>
      <c r="X52" s="106"/>
      <c r="Y52" s="106"/>
      <c r="Z52" s="106"/>
      <c r="AA52" s="106"/>
      <c r="AB52" s="106"/>
      <c r="AC52" s="146"/>
      <c r="AD52" s="106"/>
      <c r="AE52" s="106"/>
      <c r="AF52" s="106"/>
      <c r="AG52" s="106"/>
      <c r="AH52" s="106"/>
      <c r="AI52" s="106"/>
      <c r="AJ52" s="106"/>
      <c r="AK52" s="146"/>
      <c r="AL52" s="106"/>
      <c r="AM52" s="147"/>
      <c r="AO52" s="150"/>
      <c r="AP52" s="150" t="str">
        <f t="shared" si="1"/>
        <v>Добавить группу потребителей</v>
      </c>
      <c r="AQ52" s="150"/>
      <c r="AR52" s="150"/>
      <c r="AS52" s="42">
        <v>11</v>
      </c>
    </row>
    <row r="53" hidden="1" customHeight="1" spans="1:45">
      <c r="A53" s="45" t="s">
        <v>188</v>
      </c>
      <c r="B53" s="45" t="s">
        <v>189</v>
      </c>
      <c r="C53" s="45" t="s">
        <v>190</v>
      </c>
      <c r="D53" s="45" t="s">
        <v>191</v>
      </c>
      <c r="E53" s="1039"/>
      <c r="F53" s="1039"/>
      <c r="G53" s="1039"/>
      <c r="H53" s="1038"/>
      <c r="I53" s="45"/>
      <c r="J53" s="45"/>
      <c r="K53" s="45"/>
      <c r="L53" s="1040"/>
      <c r="M53" s="46"/>
      <c r="N53" s="46"/>
      <c r="O53" s="37"/>
      <c r="P53" s="80"/>
      <c r="Q53" s="108"/>
      <c r="R53" s="81"/>
      <c r="S53" s="1065"/>
      <c r="T53" s="1066"/>
      <c r="U53" s="1067"/>
      <c r="V53" s="1067"/>
      <c r="W53" s="1067"/>
      <c r="X53" s="1067"/>
      <c r="Y53" s="1067"/>
      <c r="Z53" s="1067"/>
      <c r="AA53" s="1067"/>
      <c r="AB53" s="1067"/>
      <c r="AC53" s="1067"/>
      <c r="AD53" s="1067"/>
      <c r="AE53" s="1067"/>
      <c r="AF53" s="1067"/>
      <c r="AG53" s="1067"/>
      <c r="AH53" s="1067"/>
      <c r="AI53" s="1067"/>
      <c r="AJ53" s="1067"/>
      <c r="AK53" s="1067"/>
      <c r="AL53" s="1067"/>
      <c r="AM53" s="1109"/>
      <c r="AO53" s="150"/>
      <c r="AP53" s="150" t="str">
        <f t="shared" si="1"/>
        <v/>
      </c>
      <c r="AQ53" s="150"/>
      <c r="AR53" s="150"/>
      <c r="AS53" s="42">
        <v>0</v>
      </c>
    </row>
    <row r="54" s="43" customFormat="1" hidden="1" customHeight="1" spans="1:45">
      <c r="A54" s="587" t="s">
        <v>188</v>
      </c>
      <c r="B54" s="587" t="s">
        <v>189</v>
      </c>
      <c r="C54" s="587" t="s">
        <v>190</v>
      </c>
      <c r="D54" s="587"/>
      <c r="E54" s="1039"/>
      <c r="F54" s="1039"/>
      <c r="G54" s="1038"/>
      <c r="H54" s="587"/>
      <c r="I54" s="587"/>
      <c r="J54" s="587"/>
      <c r="K54" s="587"/>
      <c r="L54" s="608"/>
      <c r="M54" s="282"/>
      <c r="N54" s="282"/>
      <c r="P54" s="151"/>
      <c r="Q54" s="1068"/>
      <c r="R54" s="151"/>
      <c r="S54" s="1070"/>
      <c r="T54" s="1071" t="s">
        <v>419</v>
      </c>
      <c r="U54" s="306"/>
      <c r="V54" s="306"/>
      <c r="W54" s="306"/>
      <c r="X54" s="306"/>
      <c r="Y54" s="306"/>
      <c r="Z54" s="306"/>
      <c r="AA54" s="306"/>
      <c r="AB54" s="306"/>
      <c r="AC54" s="306"/>
      <c r="AD54" s="306"/>
      <c r="AE54" s="306"/>
      <c r="AF54" s="306"/>
      <c r="AG54" s="306"/>
      <c r="AH54" s="306"/>
      <c r="AI54" s="306"/>
      <c r="AJ54" s="306"/>
      <c r="AK54" s="306"/>
      <c r="AL54" s="306"/>
      <c r="AM54" s="306"/>
      <c r="AO54" s="150"/>
      <c r="AP54" s="150" t="str">
        <f t="shared" si="1"/>
        <v>Добавить источник для дифференциации</v>
      </c>
      <c r="AQ54" s="150"/>
      <c r="AR54" s="150"/>
      <c r="AS54" s="43">
        <v>0</v>
      </c>
    </row>
    <row r="55" s="43" customFormat="1" hidden="1" customHeight="1" spans="1:45">
      <c r="A55" s="587" t="s">
        <v>188</v>
      </c>
      <c r="B55" s="587" t="s">
        <v>189</v>
      </c>
      <c r="C55" s="587"/>
      <c r="D55" s="587"/>
      <c r="E55" s="1039"/>
      <c r="F55" s="1038"/>
      <c r="G55" s="587"/>
      <c r="H55" s="587"/>
      <c r="I55" s="587"/>
      <c r="J55" s="587"/>
      <c r="K55" s="587"/>
      <c r="L55" s="608"/>
      <c r="M55" s="1045"/>
      <c r="N55" s="1045"/>
      <c r="P55" s="151"/>
      <c r="Q55" s="1068"/>
      <c r="R55" s="151"/>
      <c r="S55" s="1070"/>
      <c r="T55" s="1071" t="s">
        <v>251</v>
      </c>
      <c r="U55" s="306"/>
      <c r="V55" s="306"/>
      <c r="W55" s="306"/>
      <c r="X55" s="306"/>
      <c r="Y55" s="306"/>
      <c r="Z55" s="306"/>
      <c r="AA55" s="306"/>
      <c r="AB55" s="306"/>
      <c r="AC55" s="306"/>
      <c r="AD55" s="306"/>
      <c r="AE55" s="306"/>
      <c r="AF55" s="306"/>
      <c r="AG55" s="306"/>
      <c r="AH55" s="306"/>
      <c r="AI55" s="306"/>
      <c r="AJ55" s="306"/>
      <c r="AK55" s="306"/>
      <c r="AL55" s="306"/>
      <c r="AM55" s="306"/>
      <c r="AO55" s="150"/>
      <c r="AP55" s="150" t="str">
        <f t="shared" si="1"/>
        <v>Добавить централизованную систему для дифференциации</v>
      </c>
      <c r="AQ55" s="150"/>
      <c r="AR55" s="150"/>
      <c r="AS55" s="43">
        <v>0</v>
      </c>
    </row>
    <row r="56" s="43" customFormat="1" hidden="1" customHeight="1" spans="1:45">
      <c r="A56" s="587" t="s">
        <v>188</v>
      </c>
      <c r="B56" s="587"/>
      <c r="C56" s="587"/>
      <c r="D56" s="587"/>
      <c r="E56" s="1038"/>
      <c r="F56" s="587"/>
      <c r="G56" s="587"/>
      <c r="H56" s="587"/>
      <c r="I56" s="587"/>
      <c r="J56" s="587"/>
      <c r="K56" s="587"/>
      <c r="L56" s="608"/>
      <c r="M56" s="1045"/>
      <c r="N56" s="1045"/>
      <c r="P56" s="151"/>
      <c r="Q56" s="1068"/>
      <c r="R56" s="151"/>
      <c r="S56" s="1070"/>
      <c r="T56" s="1071" t="s">
        <v>252</v>
      </c>
      <c r="U56" s="306"/>
      <c r="V56" s="306"/>
      <c r="W56" s="306"/>
      <c r="X56" s="306"/>
      <c r="Y56" s="306"/>
      <c r="Z56" s="306"/>
      <c r="AA56" s="306"/>
      <c r="AB56" s="306"/>
      <c r="AC56" s="306"/>
      <c r="AD56" s="306"/>
      <c r="AE56" s="306"/>
      <c r="AF56" s="306"/>
      <c r="AG56" s="306"/>
      <c r="AH56" s="306"/>
      <c r="AI56" s="306"/>
      <c r="AJ56" s="306"/>
      <c r="AK56" s="306"/>
      <c r="AL56" s="306"/>
      <c r="AM56" s="306"/>
      <c r="AO56" s="150"/>
      <c r="AP56" s="150" t="str">
        <f t="shared" si="1"/>
        <v>Добавить территорию для дифференциации</v>
      </c>
      <c r="AQ56" s="150"/>
      <c r="AR56" s="150"/>
      <c r="AS56" s="43">
        <v>0</v>
      </c>
    </row>
    <row r="57" s="43" customFormat="1" ht="4.2" customHeight="1" spans="1:45">
      <c r="A57" s="587"/>
      <c r="B57" s="587"/>
      <c r="C57" s="587"/>
      <c r="D57" s="587"/>
      <c r="E57" s="587"/>
      <c r="F57" s="587"/>
      <c r="G57" s="587"/>
      <c r="H57" s="587"/>
      <c r="I57" s="587"/>
      <c r="J57" s="587"/>
      <c r="K57" s="587"/>
      <c r="L57" s="608"/>
      <c r="M57" s="1045"/>
      <c r="N57" s="1045"/>
      <c r="P57" s="151"/>
      <c r="Q57" s="1068"/>
      <c r="R57" s="151"/>
      <c r="S57" s="1070"/>
      <c r="T57" s="1071" t="s">
        <v>253</v>
      </c>
      <c r="U57" s="306"/>
      <c r="V57" s="306"/>
      <c r="W57" s="306"/>
      <c r="X57" s="306"/>
      <c r="Y57" s="306"/>
      <c r="Z57" s="306"/>
      <c r="AA57" s="306"/>
      <c r="AB57" s="306"/>
      <c r="AC57" s="306"/>
      <c r="AD57" s="306"/>
      <c r="AE57" s="306"/>
      <c r="AF57" s="306"/>
      <c r="AG57" s="306"/>
      <c r="AH57" s="306"/>
      <c r="AI57" s="306"/>
      <c r="AJ57" s="306"/>
      <c r="AK57" s="306"/>
      <c r="AL57" s="306"/>
      <c r="AM57" s="306"/>
      <c r="AO57" s="150"/>
      <c r="AP57" s="150" t="str">
        <f t="shared" si="1"/>
        <v>Добавить наименование тарифа</v>
      </c>
      <c r="AQ57" s="150"/>
      <c r="AR57" s="150"/>
      <c r="AS57" s="43">
        <v>4</v>
      </c>
    </row>
    <row r="58" ht="11.55" customHeight="1" spans="13:45">
      <c r="M58" s="37"/>
      <c r="N58" s="37"/>
      <c r="O58" s="37"/>
      <c r="P58" s="42"/>
      <c r="Q58" s="42"/>
      <c r="R58" s="42"/>
      <c r="S58" s="42"/>
      <c r="AN58" s="42"/>
      <c r="AO58" s="42"/>
      <c r="AP58" s="42"/>
      <c r="AQ58" s="42"/>
      <c r="AR58" s="42"/>
      <c r="AS58" s="42">
        <v>11</v>
      </c>
    </row>
    <row r="59" ht="14.7" customHeight="1" spans="15:45">
      <c r="O59" s="37"/>
      <c r="S59" s="781"/>
      <c r="T59" s="119"/>
      <c r="U59" s="119"/>
      <c r="V59" s="119"/>
      <c r="W59" s="119"/>
      <c r="X59" s="119"/>
      <c r="Y59" s="119"/>
      <c r="Z59" s="119"/>
      <c r="AA59" s="119"/>
      <c r="AB59" s="119"/>
      <c r="AC59" s="119"/>
      <c r="AD59" s="119"/>
      <c r="AE59" s="119"/>
      <c r="AF59" s="119"/>
      <c r="AG59" s="119"/>
      <c r="AH59" s="119"/>
      <c r="AI59" s="119"/>
      <c r="AJ59" s="119"/>
      <c r="AK59" s="119"/>
      <c r="AL59" s="119"/>
      <c r="AM59" s="119"/>
      <c r="AS59" s="42">
        <v>14</v>
      </c>
    </row>
    <row r="60" ht="14.7" customHeight="1" spans="15:45">
      <c r="O60" s="37"/>
      <c r="T60" s="119"/>
      <c r="U60" s="119"/>
      <c r="V60" s="119"/>
      <c r="W60" s="119"/>
      <c r="X60" s="119"/>
      <c r="Y60" s="119"/>
      <c r="Z60" s="119"/>
      <c r="AA60" s="119"/>
      <c r="AB60" s="119"/>
      <c r="AC60" s="119"/>
      <c r="AD60" s="119"/>
      <c r="AE60" s="119"/>
      <c r="AF60" s="119"/>
      <c r="AG60" s="119"/>
      <c r="AH60" s="119"/>
      <c r="AI60" s="119"/>
      <c r="AJ60" s="119"/>
      <c r="AK60" s="119"/>
      <c r="AL60" s="119"/>
      <c r="AM60" s="119"/>
      <c r="AS60" s="42">
        <v>14</v>
      </c>
    </row>
    <row r="61" ht="14.7" customHeight="1" spans="15:45">
      <c r="O61" s="37"/>
      <c r="T61" s="119"/>
      <c r="U61" s="119"/>
      <c r="V61" s="119"/>
      <c r="W61" s="119"/>
      <c r="X61" s="119"/>
      <c r="Y61" s="119"/>
      <c r="Z61" s="119"/>
      <c r="AA61" s="119"/>
      <c r="AB61" s="119"/>
      <c r="AC61" s="119"/>
      <c r="AD61" s="119"/>
      <c r="AE61" s="119"/>
      <c r="AF61" s="119"/>
      <c r="AG61" s="119"/>
      <c r="AH61" s="119"/>
      <c r="AI61" s="119"/>
      <c r="AJ61" s="119"/>
      <c r="AK61" s="119"/>
      <c r="AL61" s="119"/>
      <c r="AM61" s="119"/>
      <c r="AS61" s="42">
        <v>14</v>
      </c>
    </row>
    <row r="62" ht="14.7" customHeight="1" spans="15:45">
      <c r="O62" s="37"/>
      <c r="AS62" s="42">
        <v>14</v>
      </c>
    </row>
    <row r="63" ht="14.7" customHeight="1" spans="15:45">
      <c r="O63" s="37"/>
      <c r="S63" s="781"/>
      <c r="T63" s="1168"/>
      <c r="U63" s="119"/>
      <c r="V63" s="119"/>
      <c r="W63" s="119"/>
      <c r="X63" s="119"/>
      <c r="Y63" s="119"/>
      <c r="Z63" s="119"/>
      <c r="AA63" s="119"/>
      <c r="AB63" s="119"/>
      <c r="AC63" s="119"/>
      <c r="AD63" s="119"/>
      <c r="AE63" s="119"/>
      <c r="AF63" s="119"/>
      <c r="AG63" s="119"/>
      <c r="AH63" s="119"/>
      <c r="AI63" s="119"/>
      <c r="AJ63" s="119"/>
      <c r="AK63" s="119"/>
      <c r="AL63" s="119"/>
      <c r="AM63" s="119"/>
      <c r="AS63" s="42">
        <v>14</v>
      </c>
    </row>
    <row r="64" ht="14.7" customHeight="1" spans="15:45">
      <c r="O64" s="37"/>
      <c r="T64" s="119"/>
      <c r="U64" s="119"/>
      <c r="V64" s="119"/>
      <c r="W64" s="119"/>
      <c r="X64" s="119"/>
      <c r="Y64" s="119"/>
      <c r="Z64" s="119"/>
      <c r="AA64" s="119"/>
      <c r="AB64" s="119"/>
      <c r="AC64" s="119"/>
      <c r="AD64" s="119"/>
      <c r="AE64" s="119"/>
      <c r="AF64" s="119"/>
      <c r="AG64" s="119"/>
      <c r="AH64" s="119"/>
      <c r="AI64" s="119"/>
      <c r="AJ64" s="119"/>
      <c r="AK64" s="119"/>
      <c r="AL64" s="119"/>
      <c r="AM64" s="119"/>
      <c r="AS64" s="42">
        <v>14</v>
      </c>
    </row>
    <row r="65" ht="14.7" customHeight="1" spans="20:45">
      <c r="T65" s="119"/>
      <c r="U65" s="119"/>
      <c r="V65" s="119"/>
      <c r="W65" s="119"/>
      <c r="X65" s="119"/>
      <c r="Y65" s="119"/>
      <c r="Z65" s="119"/>
      <c r="AA65" s="119"/>
      <c r="AB65" s="119"/>
      <c r="AC65" s="119"/>
      <c r="AD65" s="119"/>
      <c r="AE65" s="119"/>
      <c r="AF65" s="119"/>
      <c r="AG65" s="119"/>
      <c r="AH65" s="119"/>
      <c r="AI65" s="119"/>
      <c r="AJ65" s="119"/>
      <c r="AK65" s="119"/>
      <c r="AL65" s="119"/>
      <c r="AM65" s="119"/>
      <c r="AS65" s="42">
        <v>14</v>
      </c>
    </row>
    <row r="66" ht="22.5" hidden="1" customHeight="1" spans="1:45">
      <c r="A66" s="37" t="s">
        <v>83</v>
      </c>
      <c r="B66" s="37">
        <v>0</v>
      </c>
      <c r="C66" s="37">
        <v>0</v>
      </c>
      <c r="D66" s="37">
        <v>0</v>
      </c>
      <c r="E66" s="37">
        <v>0</v>
      </c>
      <c r="F66" s="37">
        <v>0</v>
      </c>
      <c r="G66" s="37">
        <v>0</v>
      </c>
      <c r="H66" s="37">
        <v>0</v>
      </c>
      <c r="I66" s="37">
        <v>0</v>
      </c>
      <c r="J66" s="37">
        <v>0</v>
      </c>
      <c r="K66" s="37">
        <v>0</v>
      </c>
      <c r="L66" s="47">
        <v>0</v>
      </c>
      <c r="M66" s="38">
        <v>0</v>
      </c>
      <c r="N66" s="38">
        <v>0</v>
      </c>
      <c r="O66" s="38">
        <v>0</v>
      </c>
      <c r="P66" s="39">
        <v>0</v>
      </c>
      <c r="Q66" s="40">
        <v>3</v>
      </c>
      <c r="R66" s="40">
        <v>3</v>
      </c>
      <c r="S66" s="41">
        <v>12</v>
      </c>
      <c r="T66" s="42">
        <v>31</v>
      </c>
      <c r="U66" s="42">
        <v>0</v>
      </c>
      <c r="V66" s="42">
        <v>0</v>
      </c>
      <c r="W66" s="42">
        <v>0</v>
      </c>
      <c r="X66" s="42">
        <v>0</v>
      </c>
      <c r="Y66" s="42">
        <v>0</v>
      </c>
      <c r="Z66" s="42">
        <v>0</v>
      </c>
      <c r="AA66" s="42">
        <v>0</v>
      </c>
      <c r="AB66" s="42">
        <v>0</v>
      </c>
      <c r="AC66" s="42">
        <v>0</v>
      </c>
      <c r="AD66" s="42">
        <v>24</v>
      </c>
      <c r="AE66" s="42">
        <v>0</v>
      </c>
      <c r="AF66" s="42">
        <v>24</v>
      </c>
      <c r="AG66" s="42">
        <v>24</v>
      </c>
      <c r="AH66" s="42">
        <v>11</v>
      </c>
      <c r="AI66" s="42">
        <v>3</v>
      </c>
      <c r="AJ66" s="42">
        <v>11</v>
      </c>
      <c r="AK66" s="42">
        <v>0</v>
      </c>
      <c r="AL66" s="42">
        <v>4</v>
      </c>
      <c r="AM66" s="42">
        <v>115</v>
      </c>
      <c r="AN66" s="43">
        <v>10</v>
      </c>
      <c r="AO66" s="43">
        <v>10</v>
      </c>
      <c r="AP66" s="43">
        <v>10</v>
      </c>
      <c r="AQ66" s="43">
        <v>10</v>
      </c>
      <c r="AR66" s="43">
        <v>10</v>
      </c>
      <c r="AS66" s="42">
        <v>23</v>
      </c>
    </row>
  </sheetData>
  <sheetProtection formatColumns="0" formatRows="0" insertRows="0" deleteColumns="0" deleteRows="0" sort="0" autoFilter="0"/>
  <mergeCells count="113">
    <mergeCell ref="V2:AC2"/>
    <mergeCell ref="AD2:AL2"/>
    <mergeCell ref="V3:AC3"/>
    <mergeCell ref="AD3:AL3"/>
    <mergeCell ref="V4:AC4"/>
    <mergeCell ref="AD4:AL4"/>
    <mergeCell ref="V5:AC5"/>
    <mergeCell ref="AD5:AL5"/>
    <mergeCell ref="V6:AC6"/>
    <mergeCell ref="AD6:AL6"/>
    <mergeCell ref="V7:AC7"/>
    <mergeCell ref="AD7:AL7"/>
    <mergeCell ref="S26:AJ26"/>
    <mergeCell ref="S27:AJ27"/>
    <mergeCell ref="S29:T29"/>
    <mergeCell ref="V29:AB29"/>
    <mergeCell ref="AD29:AJ29"/>
    <mergeCell ref="S30:T30"/>
    <mergeCell ref="V30:AB30"/>
    <mergeCell ref="AD30:AJ30"/>
    <mergeCell ref="S31:T31"/>
    <mergeCell ref="V31:AB31"/>
    <mergeCell ref="AD31:AJ31"/>
    <mergeCell ref="S32:T32"/>
    <mergeCell ref="V32:AB32"/>
    <mergeCell ref="AD32:AJ32"/>
    <mergeCell ref="S34:T34"/>
    <mergeCell ref="V34:AB34"/>
    <mergeCell ref="AD34:AJ34"/>
    <mergeCell ref="S35:T35"/>
    <mergeCell ref="V35:AB35"/>
    <mergeCell ref="AD35:AJ35"/>
    <mergeCell ref="V37:AC37"/>
    <mergeCell ref="AD37:AK37"/>
    <mergeCell ref="S38:AL38"/>
    <mergeCell ref="V39:AB39"/>
    <mergeCell ref="AD39:AJ39"/>
    <mergeCell ref="X40:Y40"/>
    <mergeCell ref="Z40:AB40"/>
    <mergeCell ref="AF40:AG40"/>
    <mergeCell ref="AH40:AJ40"/>
    <mergeCell ref="AA41:AB41"/>
    <mergeCell ref="AI41:AJ41"/>
    <mergeCell ref="AA42:AB42"/>
    <mergeCell ref="AI42:AJ42"/>
    <mergeCell ref="V43:AC43"/>
    <mergeCell ref="AD43:AL43"/>
    <mergeCell ref="V44:AC44"/>
    <mergeCell ref="AD44:AL44"/>
    <mergeCell ref="V45:AC45"/>
    <mergeCell ref="AD45:AL45"/>
    <mergeCell ref="V46:AC46"/>
    <mergeCell ref="AD46:AL46"/>
    <mergeCell ref="V47:AC47"/>
    <mergeCell ref="AD47:AL47"/>
    <mergeCell ref="V48:AC48"/>
    <mergeCell ref="AD48:AL48"/>
    <mergeCell ref="T59:AM59"/>
    <mergeCell ref="T60:AM60"/>
    <mergeCell ref="T61:AM61"/>
    <mergeCell ref="T63:AM63"/>
    <mergeCell ref="T64:AM64"/>
    <mergeCell ref="T65:AM65"/>
    <mergeCell ref="E2:E15"/>
    <mergeCell ref="E43:E56"/>
    <mergeCell ref="F3:F14"/>
    <mergeCell ref="F44:F55"/>
    <mergeCell ref="G4:G13"/>
    <mergeCell ref="G45:G54"/>
    <mergeCell ref="H5:H12"/>
    <mergeCell ref="H46:H53"/>
    <mergeCell ref="I6:I11"/>
    <mergeCell ref="I47:I52"/>
    <mergeCell ref="J7:J10"/>
    <mergeCell ref="J48:J51"/>
    <mergeCell ref="K8:K9"/>
    <mergeCell ref="K49:K50"/>
    <mergeCell ref="P6:P11"/>
    <mergeCell ref="P47:P52"/>
    <mergeCell ref="Q7:Q10"/>
    <mergeCell ref="Q48:Q51"/>
    <mergeCell ref="S39:S41"/>
    <mergeCell ref="T39:T41"/>
    <mergeCell ref="V40:V41"/>
    <mergeCell ref="W40:W41"/>
    <mergeCell ref="Z8:Z9"/>
    <mergeCell ref="Z49:Z50"/>
    <mergeCell ref="AA8:AA9"/>
    <mergeCell ref="AA49:AA50"/>
    <mergeCell ref="AB8:AB9"/>
    <mergeCell ref="AB49:AB50"/>
    <mergeCell ref="AC8:AC9"/>
    <mergeCell ref="AC39:AC41"/>
    <mergeCell ref="AC49:AC50"/>
    <mergeCell ref="AD40:AD41"/>
    <mergeCell ref="AE40:AE41"/>
    <mergeCell ref="AH8:AH9"/>
    <mergeCell ref="AH17:AH18"/>
    <mergeCell ref="AH49:AH50"/>
    <mergeCell ref="AI8:AI9"/>
    <mergeCell ref="AI17:AI18"/>
    <mergeCell ref="AI49:AI50"/>
    <mergeCell ref="AJ8:AJ9"/>
    <mergeCell ref="AJ17:AJ18"/>
    <mergeCell ref="AJ49:AJ50"/>
    <mergeCell ref="AK8:AK9"/>
    <mergeCell ref="AK17:AK18"/>
    <mergeCell ref="AK39:AK41"/>
    <mergeCell ref="AK49:AK50"/>
    <mergeCell ref="AL39:AL41"/>
    <mergeCell ref="AM8:AM10"/>
    <mergeCell ref="AM38:AM41"/>
    <mergeCell ref="AM49:AM51"/>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H8 AJ8 AH17 AJ17 Z49 AB49 AH49 AJ49 Z65585 AB65585 AH65585 AJ65585 Z131121 AB131121 AH131121 AJ131121 Z196657 AB196657 AH196657 AJ196657 Z262193 AB262193 AH262193 AJ262193 Z327729 AB327729 AH327729 AJ327729 Z393265 AB393265 AH393265 AJ393265 Z458801 AB458801 AH458801 AJ458801 Z524337 AB524337 AH524337 AJ524337 Z589873 AB589873 AH589873 AJ589873 Z655409 AB655409 AH655409 AJ655409 Z720945 AB720945 AH720945 AJ720945 Z786481 AB786481 AH786481 AJ786481 Z852017 AB852017 AH852017 AJ852017 Z917553 AB917553 AH917553 AJ917553 Z983089 AB983089 AH983089 AJ983089"/>
    <dataValidation allowBlank="1" showInputMessage="1" showErrorMessage="1" prompt="Для выбора выполните двойной щелчок левой клавиши мыши по соответствующей ячейке." sqref="AA8 AC8 AI8 AK8 AI17 AK17 AA49 AC49 AI49 AK49 AA65585 AC65585 AI65585 AK65585 AA131121 AC131121 AI131121 AK131121 AA196657 AC196657 AI196657 AK196657 AA262193 AC262193 AI262193 AK262193 AA327729 AC327729 AI327729 AK327729 AA393265 AC393265 AI393265 AK393265 AA458801 AC458801 AI458801 AK458801 AA524337 AC524337 AI524337 AK524337 AA589873 AC589873 AI589873 AK589873 AA655409 AC655409 AI655409 AK655409 AA720945 AC720945 AI720945 AK720945 AA786481 AC786481 AI786481 AK786481 AA852017 AC852017 AI852017 AK852017 AA917553 AC917553 AI917553 AK917553 AA983089 AC983089 AI983089 AK983089"/>
    <dataValidation allowBlank="1" promptTitle="checkPeriodRange" sqref="Y9 AG9 AG18 Y50 AG50 Y65586 AG65586 Y131122 AG131122 Y196658 AG196658 Y262194 AG262194 Y327730 AG327730 Y393266 AG393266 Y458802 AG458802 Y524338 AG524338 Y589874 AG589874 Y655410 AG655410 Y720946 AG720946 Y786482 AG786482 Y852018 AG852018 Y917554 AG917554 Y983090 AG983090"/>
    <dataValidation type="list" allowBlank="1" showInputMessage="1" showErrorMessage="1" errorTitle="Ошибка" error="Выберите значение из списка" sqref="V65583:W65583 AD65583:AE65583 V131119:W131119 AD131119:AE131119 V196655:W196655 AD196655:AE196655 V262191:W262191 AD262191:AE262191 V327727:W327727 AD327727:AE327727 V393263:W393263 AD393263:AE393263 V458799:W458799 AD458799:AE458799 V524335:W524335 AD524335:AE524335 V589871:W589871 AD589871:AE589871 V655407:W655407 AD655407:AE655407 V720943:W720943 AD720943:AE720943 V786479:W786479 AD786479:AE786479 V852015:W852015 AD852015:AE852015 V917551:W917551 AD917551:AE917551 V983087:W983087 AD983087:AE983087">
      <formula1>kind_of_scheme_in</formula1>
    </dataValidation>
    <dataValidation type="list" allowBlank="1" showInputMessage="1" errorTitle="Ошибка" error="Выберите значение из списка" prompt="Выберите значение из списка" sqref="V65584:AL65584 V131120:AL131120 V196656:AL196656 V262192:AL262192 V327728:AL327728 V393264:AL393264 V458800:AL458800 V524336:AL524336 V589872:AL589872 V655408:AL655408 V720944:AL720944 V786480:AL786480 V852016:AL852016 V917552:AL917552 V983088:AL983088">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qref="S131123:AM131129 S589875:AM589881 S196659:AM196665 S655411:AM655417 S262195:AM262201 S720947:AM720953 S327731:AM327737 S786483:AM786489 S393267:AM393273 S852019:AM852025 S458803:AM458809 S917555:AM917561 S65587:AM65593 S524339:AM524345 S983091:AM983097"/>
  </dataValidations>
  <pageMargins left="0.7" right="0.7" top="0.75" bottom="0.75" header="0.3" footer="0.3"/>
  <pageSetup paperSize="1"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W72"/>
  <sheetViews>
    <sheetView showGridLines="0" zoomScale="90" zoomScaleNormal="90" workbookViewId="0">
      <pane xSplit="32" ySplit="48" topLeftCell="AG49"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42" hidden="1"/>
    <col min="2" max="2" width="11" style="42" hidden="1" customWidth="1"/>
    <col min="3" max="3" width="10.5714285714286" style="42" hidden="1"/>
    <col min="4" max="4" width="11.847619047619" style="42" hidden="1" customWidth="1"/>
    <col min="5" max="5" width="10" style="42" hidden="1" customWidth="1"/>
    <col min="6" max="6" width="8.71428571428571" style="42" hidden="1" customWidth="1"/>
    <col min="7" max="7" width="7.57142857142857" style="42" hidden="1" customWidth="1"/>
    <col min="8" max="8" width="11.4190476190476" style="42" hidden="1" customWidth="1"/>
    <col min="9" max="9" width="12" style="42" hidden="1" customWidth="1"/>
    <col min="10" max="10" width="9.84761904761905" style="42" hidden="1" customWidth="1"/>
    <col min="11" max="12" width="11.4190476190476" style="42" hidden="1" customWidth="1"/>
    <col min="13" max="13" width="19.1428571428571" style="85" hidden="1" customWidth="1"/>
    <col min="14" max="15" width="12.2857142857143" style="39" hidden="1" customWidth="1"/>
    <col min="16" max="16" width="23.4190476190476" style="39" hidden="1" customWidth="1"/>
    <col min="17" max="17" width="3.71428571428571" style="39" hidden="1" customWidth="1"/>
    <col min="18" max="20" width="3" style="40" customWidth="1"/>
    <col min="21" max="21" width="12" style="41" customWidth="1"/>
    <col min="22" max="22" width="31" style="42" customWidth="1"/>
    <col min="23" max="23" width="0.142857142857143" style="42" customWidth="1"/>
    <col min="24" max="28" width="21.7142857142857" style="42" hidden="1" customWidth="1"/>
    <col min="29" max="29" width="11.7142857142857" style="42" hidden="1" customWidth="1"/>
    <col min="30" max="30" width="3.71428571428571" style="42" hidden="1" customWidth="1"/>
    <col min="31" max="31" width="11.7142857142857" style="42" hidden="1" customWidth="1"/>
    <col min="32" max="32" width="8.57142857142857" style="42" hidden="1" customWidth="1"/>
    <col min="33" max="33" width="21.7142857142857" style="42" customWidth="1"/>
    <col min="34" max="37" width="21" style="42" customWidth="1"/>
    <col min="38" max="38" width="11" style="42" customWidth="1"/>
    <col min="39" max="39" width="3.71428571428571" style="42" customWidth="1"/>
    <col min="40" max="40" width="11" style="42" customWidth="1"/>
    <col min="41" max="41" width="8.57142857142857" style="42" hidden="1" customWidth="1"/>
    <col min="42" max="42" width="4" style="42" customWidth="1"/>
    <col min="43" max="43" width="115" style="42" customWidth="1"/>
    <col min="44" max="48" width="10" style="43" customWidth="1"/>
    <col min="49" max="49" width="10.5714285714286" style="42" hidden="1"/>
  </cols>
  <sheetData>
    <row r="1" ht="22.5" hidden="1" customHeight="1" spans="49:49">
      <c r="AW1" s="42" t="s">
        <v>14</v>
      </c>
    </row>
    <row r="2" ht="21" hidden="1" customHeight="1" spans="1:49">
      <c r="A2" s="499"/>
      <c r="B2" s="499"/>
      <c r="C2" s="499"/>
      <c r="D2" s="499"/>
      <c r="E2" s="1129">
        <v>1</v>
      </c>
      <c r="F2" s="499"/>
      <c r="G2" s="499"/>
      <c r="H2" s="499"/>
      <c r="I2" s="499"/>
      <c r="J2" s="499"/>
      <c r="K2" s="499"/>
      <c r="L2" s="499"/>
      <c r="M2" s="533"/>
      <c r="N2" s="41"/>
      <c r="O2" s="41"/>
      <c r="P2" s="41"/>
      <c r="R2" s="80"/>
      <c r="S2" s="80"/>
      <c r="T2" s="81"/>
      <c r="U2" s="64" t="e">
        <f>INDEX(PT_DIFFERENTIATION_NUM_NTAR,MATCH(A2,PT_DIFFERENTIATION_NTAR_ID,0))</f>
        <v>#N/A</v>
      </c>
      <c r="V2" s="82" t="s">
        <v>125</v>
      </c>
      <c r="W2" s="83"/>
      <c r="X2" s="1076"/>
      <c r="Y2" s="1047"/>
      <c r="Z2" s="1047"/>
      <c r="AA2" s="1047"/>
      <c r="AB2" s="1047"/>
      <c r="AC2" s="1047"/>
      <c r="AD2" s="1047"/>
      <c r="AE2" s="1047"/>
      <c r="AF2" s="1075"/>
      <c r="AG2" s="1076" t="e">
        <f>INDEX(PT_DIFFERENTIATION_NTAR,MATCH(A2,PT_DIFFERENTIATION_NTAR_ID,0))</f>
        <v>#N/A</v>
      </c>
      <c r="AH2" s="1047"/>
      <c r="AI2" s="1047"/>
      <c r="AJ2" s="1047"/>
      <c r="AK2" s="1047"/>
      <c r="AL2" s="1047"/>
      <c r="AM2" s="1047"/>
      <c r="AN2" s="1047"/>
      <c r="AO2" s="1047"/>
      <c r="AP2" s="1075"/>
      <c r="AQ2" s="135" t="s">
        <v>401</v>
      </c>
      <c r="AS2" s="150"/>
      <c r="AT2" s="150" t="str">
        <f t="shared" ref="AT2:AT8" si="0">IF(V2="","",V2)</f>
        <v>Наименование тарифа</v>
      </c>
      <c r="AU2" s="150"/>
      <c r="AV2" s="150"/>
      <c r="AW2" s="42">
        <v>0</v>
      </c>
    </row>
    <row r="3" ht="21" hidden="1" customHeight="1" spans="1:49">
      <c r="A3" s="499"/>
      <c r="B3" s="499"/>
      <c r="C3" s="499"/>
      <c r="D3" s="499"/>
      <c r="E3" s="1130"/>
      <c r="F3" s="1129">
        <v>1</v>
      </c>
      <c r="G3" s="499"/>
      <c r="H3" s="499"/>
      <c r="I3" s="499"/>
      <c r="J3" s="499"/>
      <c r="K3" s="499"/>
      <c r="L3" s="499"/>
      <c r="M3" s="533"/>
      <c r="N3" s="41"/>
      <c r="O3" s="41"/>
      <c r="P3" s="41"/>
      <c r="Q3" s="85"/>
      <c r="R3" s="86"/>
      <c r="S3" s="42"/>
      <c r="T3" s="87"/>
      <c r="U3" s="64" t="e">
        <f>INDEX(PT_DIFFERENTIATION_NUM_TER,MATCH(B3,PT_DIFFERENTIATION_TER_ID,0))</f>
        <v>#N/A</v>
      </c>
      <c r="V3" s="88" t="s">
        <v>402</v>
      </c>
      <c r="W3" s="83"/>
      <c r="X3" s="1076"/>
      <c r="Y3" s="1047"/>
      <c r="Z3" s="1047"/>
      <c r="AA3" s="1047"/>
      <c r="AB3" s="1047"/>
      <c r="AC3" s="1047"/>
      <c r="AD3" s="1047"/>
      <c r="AE3" s="1047"/>
      <c r="AF3" s="1075"/>
      <c r="AG3" s="1076" t="e">
        <f>INDEX(PT_DIFFERENTIATION_TER,MATCH(B3,PT_DIFFERENTIATION_TER_ID,0))</f>
        <v>#N/A</v>
      </c>
      <c r="AH3" s="1047"/>
      <c r="AI3" s="1047"/>
      <c r="AJ3" s="1047"/>
      <c r="AK3" s="1047"/>
      <c r="AL3" s="1047"/>
      <c r="AM3" s="1047"/>
      <c r="AN3" s="1047"/>
      <c r="AO3" s="1047"/>
      <c r="AP3" s="1075"/>
      <c r="AQ3" s="135" t="s">
        <v>403</v>
      </c>
      <c r="AS3" s="150"/>
      <c r="AT3" s="150" t="str">
        <f t="shared" si="0"/>
        <v>Территория действия тарифа</v>
      </c>
      <c r="AU3" s="150"/>
      <c r="AV3" s="150"/>
      <c r="AW3" s="42">
        <v>0</v>
      </c>
    </row>
    <row r="4" ht="22.5" hidden="1" customHeight="1" spans="1:49">
      <c r="A4" s="499"/>
      <c r="B4" s="499"/>
      <c r="C4" s="499"/>
      <c r="D4" s="499"/>
      <c r="E4" s="1130"/>
      <c r="F4" s="1130"/>
      <c r="G4" s="1129">
        <v>1</v>
      </c>
      <c r="H4" s="499"/>
      <c r="I4" s="499"/>
      <c r="J4" s="499"/>
      <c r="K4" s="499"/>
      <c r="L4" s="499"/>
      <c r="M4" s="533"/>
      <c r="N4" s="41"/>
      <c r="O4" s="41"/>
      <c r="P4" s="41"/>
      <c r="Q4" s="89"/>
      <c r="R4" s="86"/>
      <c r="S4" s="42"/>
      <c r="T4" s="87"/>
      <c r="U4" s="64" t="e">
        <f>INDEX(PT_DIFFERENTIATION_NUM_CS,MATCH(C4,PT_DIFFERENTIATION_CS_ID,0))</f>
        <v>#N/A</v>
      </c>
      <c r="V4" s="90" t="s">
        <v>404</v>
      </c>
      <c r="W4" s="83"/>
      <c r="X4" s="1076"/>
      <c r="Y4" s="1047"/>
      <c r="Z4" s="1047"/>
      <c r="AA4" s="1047"/>
      <c r="AB4" s="1047"/>
      <c r="AC4" s="1047"/>
      <c r="AD4" s="1047"/>
      <c r="AE4" s="1047"/>
      <c r="AF4" s="1075"/>
      <c r="AG4" s="1076" t="e">
        <f>INDEX(PT_DIFFERENTIATION_CS,MATCH(C4,PT_DIFFERENTIATION_CS_ID,0))</f>
        <v>#N/A</v>
      </c>
      <c r="AH4" s="1047"/>
      <c r="AI4" s="1047"/>
      <c r="AJ4" s="1047"/>
      <c r="AK4" s="1047"/>
      <c r="AL4" s="1047"/>
      <c r="AM4" s="1047"/>
      <c r="AN4" s="1047"/>
      <c r="AO4" s="1047"/>
      <c r="AP4" s="1075"/>
      <c r="AQ4" s="135" t="s">
        <v>405</v>
      </c>
      <c r="AS4" s="150"/>
      <c r="AT4" s="150" t="str">
        <f t="shared" si="0"/>
        <v>Наименование системы теплоснабжения </v>
      </c>
      <c r="AU4" s="150"/>
      <c r="AV4" s="150"/>
      <c r="AW4" s="42">
        <v>0</v>
      </c>
    </row>
    <row r="5" ht="21" hidden="1" customHeight="1" spans="1:49">
      <c r="A5" s="499"/>
      <c r="B5" s="499"/>
      <c r="C5" s="499"/>
      <c r="D5" s="499"/>
      <c r="E5" s="1130"/>
      <c r="F5" s="1130"/>
      <c r="G5" s="1130"/>
      <c r="H5" s="1129">
        <v>1</v>
      </c>
      <c r="I5" s="499"/>
      <c r="J5" s="499"/>
      <c r="K5" s="499"/>
      <c r="L5" s="499"/>
      <c r="M5" s="533"/>
      <c r="N5" s="41"/>
      <c r="O5" s="41"/>
      <c r="P5" s="41"/>
      <c r="Q5" s="89"/>
      <c r="R5" s="86"/>
      <c r="S5" s="42"/>
      <c r="T5" s="87"/>
      <c r="U5" s="64" t="e">
        <f>INDEX(PT_DIFFERENTIATION_NUM_IST_TE,MATCH(D5,PT_DIFFERENTIATION_IST_TE_ID,0))</f>
        <v>#N/A</v>
      </c>
      <c r="V5" s="91" t="s">
        <v>406</v>
      </c>
      <c r="W5" s="83"/>
      <c r="X5" s="1076"/>
      <c r="Y5" s="1047"/>
      <c r="Z5" s="1047"/>
      <c r="AA5" s="1047"/>
      <c r="AB5" s="1047"/>
      <c r="AC5" s="1047"/>
      <c r="AD5" s="1047"/>
      <c r="AE5" s="1047"/>
      <c r="AF5" s="1075"/>
      <c r="AG5" s="1076" t="e">
        <f>INDEX(PT_DIFFERENTIATION_IST_TE,MATCH(D5,PT_DIFFERENTIATION_IST_TE_ID,0))</f>
        <v>#N/A</v>
      </c>
      <c r="AH5" s="1047"/>
      <c r="AI5" s="1047"/>
      <c r="AJ5" s="1047"/>
      <c r="AK5" s="1047"/>
      <c r="AL5" s="1047"/>
      <c r="AM5" s="1047"/>
      <c r="AN5" s="1047"/>
      <c r="AO5" s="1047"/>
      <c r="AP5" s="1075"/>
      <c r="AQ5" s="135" t="s">
        <v>407</v>
      </c>
      <c r="AS5" s="150"/>
      <c r="AT5" s="150" t="str">
        <f t="shared" si="0"/>
        <v>Источник тепловой энергии  </v>
      </c>
      <c r="AU5" s="150"/>
      <c r="AV5" s="150"/>
      <c r="AW5" s="42">
        <v>0</v>
      </c>
    </row>
    <row r="6" hidden="1" customHeight="1" spans="1:49">
      <c r="A6" s="499"/>
      <c r="B6" s="499"/>
      <c r="C6" s="499"/>
      <c r="D6" s="499"/>
      <c r="E6" s="1130"/>
      <c r="F6" s="1130"/>
      <c r="G6" s="1130"/>
      <c r="H6" s="1130"/>
      <c r="I6" s="63" t="e">
        <f>U5&amp;".1"</f>
        <v>#N/A</v>
      </c>
      <c r="J6" s="499"/>
      <c r="K6" s="499"/>
      <c r="L6" s="499"/>
      <c r="M6" s="533" t="s">
        <v>408</v>
      </c>
      <c r="N6" s="42"/>
      <c r="Q6" s="92">
        <v>1</v>
      </c>
      <c r="R6" s="92"/>
      <c r="S6" s="92"/>
      <c r="T6" s="93"/>
      <c r="U6" s="329"/>
      <c r="V6" s="1053"/>
      <c r="W6" s="1051"/>
      <c r="X6" s="1078"/>
      <c r="Y6" s="1052"/>
      <c r="Z6" s="1052"/>
      <c r="AA6" s="1052"/>
      <c r="AB6" s="1052"/>
      <c r="AC6" s="1052"/>
      <c r="AD6" s="1052"/>
      <c r="AE6" s="1052"/>
      <c r="AF6" s="1077"/>
      <c r="AG6" s="1078"/>
      <c r="AH6" s="1052"/>
      <c r="AI6" s="1052"/>
      <c r="AJ6" s="1052"/>
      <c r="AK6" s="1052"/>
      <c r="AL6" s="1052"/>
      <c r="AM6" s="1052"/>
      <c r="AN6" s="1052"/>
      <c r="AO6" s="1052"/>
      <c r="AP6" s="1077"/>
      <c r="AQ6" s="981"/>
      <c r="AS6" s="150"/>
      <c r="AT6" s="150" t="str">
        <f t="shared" si="0"/>
        <v/>
      </c>
      <c r="AU6" s="150"/>
      <c r="AV6" s="150"/>
      <c r="AW6" s="42">
        <v>0</v>
      </c>
    </row>
    <row r="7" ht="21" hidden="1" customHeight="1" spans="1:49">
      <c r="A7" s="499"/>
      <c r="B7" s="499"/>
      <c r="C7" s="499"/>
      <c r="D7" s="499"/>
      <c r="E7" s="1130"/>
      <c r="F7" s="1130"/>
      <c r="G7" s="1130"/>
      <c r="H7" s="1130"/>
      <c r="I7" s="125"/>
      <c r="J7" s="63" t="e">
        <f>I6&amp;".1"</f>
        <v>#N/A</v>
      </c>
      <c r="K7" s="499"/>
      <c r="L7" s="499"/>
      <c r="M7" s="533" t="s">
        <v>411</v>
      </c>
      <c r="N7" s="42"/>
      <c r="O7" s="42"/>
      <c r="Q7" s="92"/>
      <c r="R7" s="92">
        <v>1</v>
      </c>
      <c r="S7" s="43"/>
      <c r="T7" s="96"/>
      <c r="U7" s="64" t="e">
        <f>$J7</f>
        <v>#N/A</v>
      </c>
      <c r="V7" s="97" t="s">
        <v>412</v>
      </c>
      <c r="W7" s="83"/>
      <c r="X7" s="98"/>
      <c r="Y7" s="99"/>
      <c r="Z7" s="99"/>
      <c r="AA7" s="99"/>
      <c r="AB7" s="99"/>
      <c r="AC7" s="1155"/>
      <c r="AD7" s="1155"/>
      <c r="AE7" s="1155"/>
      <c r="AF7" s="1156"/>
      <c r="AG7" s="98"/>
      <c r="AH7" s="99"/>
      <c r="AI7" s="99"/>
      <c r="AJ7" s="99"/>
      <c r="AK7" s="99"/>
      <c r="AL7" s="99"/>
      <c r="AM7" s="99"/>
      <c r="AN7" s="99"/>
      <c r="AO7" s="99"/>
      <c r="AP7" s="136"/>
      <c r="AQ7" s="135" t="s">
        <v>413</v>
      </c>
      <c r="AS7" s="150"/>
      <c r="AT7" s="150" t="str">
        <f t="shared" si="0"/>
        <v>Группа потребителей</v>
      </c>
      <c r="AU7" s="150"/>
      <c r="AV7" s="150"/>
      <c r="AW7" s="42">
        <v>0</v>
      </c>
    </row>
    <row r="8" ht="21" hidden="1" customHeight="1" spans="1:49">
      <c r="A8" s="499"/>
      <c r="B8" s="499"/>
      <c r="C8" s="499"/>
      <c r="D8" s="499"/>
      <c r="E8" s="1130"/>
      <c r="F8" s="1130"/>
      <c r="G8" s="1130"/>
      <c r="H8" s="1130"/>
      <c r="I8" s="125"/>
      <c r="J8" s="125"/>
      <c r="K8" s="63" t="e">
        <f>J7&amp;".1"</f>
        <v>#N/A</v>
      </c>
      <c r="L8" s="85"/>
      <c r="M8" s="533" t="s">
        <v>414</v>
      </c>
      <c r="N8" s="42"/>
      <c r="O8" s="42"/>
      <c r="P8" s="42"/>
      <c r="Q8" s="92"/>
      <c r="R8" s="92"/>
      <c r="S8" s="92">
        <v>1</v>
      </c>
      <c r="T8" s="96"/>
      <c r="U8" s="64" t="e">
        <f>$K8</f>
        <v>#N/A</v>
      </c>
      <c r="V8" s="100"/>
      <c r="W8" s="83"/>
      <c r="X8" s="101"/>
      <c r="Y8" s="101"/>
      <c r="Z8" s="101"/>
      <c r="AA8" s="101"/>
      <c r="AB8" s="1157"/>
      <c r="AC8" s="138"/>
      <c r="AD8" s="139" t="s">
        <v>62</v>
      </c>
      <c r="AE8" s="138"/>
      <c r="AF8" s="139" t="s">
        <v>62</v>
      </c>
      <c r="AG8" s="1164"/>
      <c r="AH8" s="101"/>
      <c r="AI8" s="101"/>
      <c r="AJ8" s="101"/>
      <c r="AK8" s="137"/>
      <c r="AL8" s="138"/>
      <c r="AM8" s="139" t="s">
        <v>62</v>
      </c>
      <c r="AN8" s="138"/>
      <c r="AO8" s="139" t="s">
        <v>62</v>
      </c>
      <c r="AP8" s="102"/>
      <c r="AQ8" s="1122" t="s">
        <v>454</v>
      </c>
      <c r="AR8" s="43" t="e">
        <f>STRCHECKDATE(X10:AP10)</f>
        <v>#NAME?</v>
      </c>
      <c r="AS8" s="150"/>
      <c r="AT8" s="150" t="str">
        <f t="shared" si="0"/>
        <v/>
      </c>
      <c r="AU8" s="150"/>
      <c r="AV8" s="150"/>
      <c r="AW8" s="42">
        <v>0</v>
      </c>
    </row>
    <row r="9" ht="21" hidden="1" customHeight="1" spans="1:49">
      <c r="A9" s="499"/>
      <c r="B9" s="499"/>
      <c r="C9" s="499"/>
      <c r="D9" s="499"/>
      <c r="E9" s="1130"/>
      <c r="F9" s="1130"/>
      <c r="G9" s="1130"/>
      <c r="H9" s="1130"/>
      <c r="I9" s="125"/>
      <c r="J9" s="125"/>
      <c r="K9" s="125"/>
      <c r="L9" s="63" t="e">
        <f>K8&amp;".1"</f>
        <v>#N/A</v>
      </c>
      <c r="M9" s="533"/>
      <c r="N9" s="42"/>
      <c r="O9" s="42"/>
      <c r="P9" s="42"/>
      <c r="Q9" s="92"/>
      <c r="R9" s="92"/>
      <c r="S9" s="92"/>
      <c r="T9" s="96"/>
      <c r="U9" s="64" t="e">
        <f>$L9</f>
        <v>#N/A</v>
      </c>
      <c r="V9" s="1149"/>
      <c r="W9" s="83"/>
      <c r="X9" s="102"/>
      <c r="Y9" s="101"/>
      <c r="Z9" s="101"/>
      <c r="AA9" s="101"/>
      <c r="AB9" s="1157"/>
      <c r="AC9" s="142"/>
      <c r="AD9" s="139"/>
      <c r="AE9" s="142"/>
      <c r="AF9" s="139"/>
      <c r="AG9" s="1164"/>
      <c r="AH9" s="101"/>
      <c r="AI9" s="101"/>
      <c r="AJ9" s="101"/>
      <c r="AK9" s="137"/>
      <c r="AL9" s="142"/>
      <c r="AM9" s="139"/>
      <c r="AN9" s="142"/>
      <c r="AO9" s="139"/>
      <c r="AP9" s="102"/>
      <c r="AQ9" s="140" t="s">
        <v>455</v>
      </c>
      <c r="AS9" s="150"/>
      <c r="AT9" s="150"/>
      <c r="AU9" s="150"/>
      <c r="AV9" s="150"/>
      <c r="AW9" s="42">
        <v>0</v>
      </c>
    </row>
    <row r="10" hidden="1" customHeight="1" spans="1:49">
      <c r="A10" s="499"/>
      <c r="B10" s="499"/>
      <c r="C10" s="499"/>
      <c r="D10" s="499"/>
      <c r="E10" s="1130"/>
      <c r="F10" s="1130"/>
      <c r="G10" s="1130"/>
      <c r="H10" s="1130"/>
      <c r="I10" s="125"/>
      <c r="J10" s="125"/>
      <c r="K10" s="125"/>
      <c r="L10" s="63"/>
      <c r="M10" s="533"/>
      <c r="N10" s="42"/>
      <c r="O10" s="42"/>
      <c r="P10" s="42"/>
      <c r="Q10" s="92"/>
      <c r="R10" s="92"/>
      <c r="S10" s="92"/>
      <c r="T10" s="96"/>
      <c r="U10" s="103"/>
      <c r="V10" s="83"/>
      <c r="W10" s="83"/>
      <c r="X10" s="102"/>
      <c r="Y10" s="102"/>
      <c r="Z10" s="102"/>
      <c r="AA10" s="102"/>
      <c r="AB10" s="1158" t="str">
        <f>AC8&amp;"-"&amp;AE8</f>
        <v>-</v>
      </c>
      <c r="AC10" s="142"/>
      <c r="AD10" s="139"/>
      <c r="AE10" s="142"/>
      <c r="AF10" s="139"/>
      <c r="AG10" s="1165"/>
      <c r="AH10" s="102"/>
      <c r="AI10" s="102"/>
      <c r="AJ10" s="102"/>
      <c r="AK10" s="141" t="str">
        <f>AL8&amp;"-"&amp;AN8</f>
        <v>-</v>
      </c>
      <c r="AL10" s="142"/>
      <c r="AM10" s="139"/>
      <c r="AN10" s="142"/>
      <c r="AO10" s="139"/>
      <c r="AP10" s="102"/>
      <c r="AQ10" s="143"/>
      <c r="AS10" s="150"/>
      <c r="AT10" s="150" t="str">
        <f>IF(V10="","",V10)</f>
        <v/>
      </c>
      <c r="AU10" s="150"/>
      <c r="AV10" s="150"/>
      <c r="AW10" s="42">
        <v>0</v>
      </c>
    </row>
    <row r="11" ht="11.25" hidden="1" customHeight="1" spans="1:49">
      <c r="A11" s="499"/>
      <c r="B11" s="499"/>
      <c r="C11" s="499"/>
      <c r="D11" s="499"/>
      <c r="E11" s="1130"/>
      <c r="F11" s="1130"/>
      <c r="G11" s="1130"/>
      <c r="H11" s="1130"/>
      <c r="I11" s="125"/>
      <c r="J11" s="125"/>
      <c r="K11" s="63"/>
      <c r="L11" s="499"/>
      <c r="M11" s="533"/>
      <c r="N11" s="42"/>
      <c r="O11" s="42"/>
      <c r="P11" s="42"/>
      <c r="Q11" s="92"/>
      <c r="R11" s="92"/>
      <c r="S11" s="92"/>
      <c r="T11" s="96"/>
      <c r="U11" s="104"/>
      <c r="V11" s="105" t="s">
        <v>456</v>
      </c>
      <c r="W11" s="1150"/>
      <c r="X11" s="1060"/>
      <c r="Y11" s="1060"/>
      <c r="Z11" s="1060"/>
      <c r="AA11" s="1060"/>
      <c r="AB11" s="1064"/>
      <c r="AC11" s="142"/>
      <c r="AD11" s="139"/>
      <c r="AE11" s="142"/>
      <c r="AF11" s="139"/>
      <c r="AG11" s="1060"/>
      <c r="AH11" s="1060"/>
      <c r="AI11" s="1060"/>
      <c r="AJ11" s="1060"/>
      <c r="AK11" s="1064"/>
      <c r="AL11" s="142"/>
      <c r="AM11" s="139"/>
      <c r="AN11" s="142"/>
      <c r="AO11" s="139"/>
      <c r="AP11" s="1166"/>
      <c r="AQ11" s="143"/>
      <c r="AS11" s="150"/>
      <c r="AT11" s="150"/>
      <c r="AU11" s="150"/>
      <c r="AV11" s="150"/>
      <c r="AW11" s="42">
        <v>0</v>
      </c>
    </row>
    <row r="12" ht="15" hidden="1" customHeight="1" spans="1:49">
      <c r="A12" s="499"/>
      <c r="B12" s="499"/>
      <c r="C12" s="499"/>
      <c r="D12" s="499"/>
      <c r="E12" s="1130"/>
      <c r="F12" s="1130"/>
      <c r="G12" s="1130"/>
      <c r="H12" s="1130"/>
      <c r="I12" s="125"/>
      <c r="J12" s="63"/>
      <c r="K12" s="499"/>
      <c r="L12" s="499"/>
      <c r="M12" s="533"/>
      <c r="N12" s="42"/>
      <c r="O12" s="42"/>
      <c r="Q12" s="92"/>
      <c r="R12" s="92"/>
      <c r="S12" s="92"/>
      <c r="T12" s="93"/>
      <c r="U12" s="104"/>
      <c r="V12" s="107" t="s">
        <v>416</v>
      </c>
      <c r="W12" s="106"/>
      <c r="X12" s="106"/>
      <c r="Y12" s="106"/>
      <c r="Z12" s="106"/>
      <c r="AA12" s="106"/>
      <c r="AB12" s="106"/>
      <c r="AC12" s="1159"/>
      <c r="AD12" s="1159"/>
      <c r="AE12" s="1159"/>
      <c r="AF12" s="1159"/>
      <c r="AG12" s="106"/>
      <c r="AH12" s="106"/>
      <c r="AI12" s="106"/>
      <c r="AJ12" s="106"/>
      <c r="AK12" s="106"/>
      <c r="AL12" s="106"/>
      <c r="AM12" s="106"/>
      <c r="AN12" s="106"/>
      <c r="AO12" s="106"/>
      <c r="AP12" s="144"/>
      <c r="AQ12" s="145"/>
      <c r="AS12" s="150"/>
      <c r="AT12" s="150" t="str">
        <f t="shared" ref="AT12:AT17" si="1">IF(V12="","",V12)</f>
        <v>Добавить вид теплоносителя (параметры теплоносителя)</v>
      </c>
      <c r="AU12" s="150"/>
      <c r="AV12" s="150"/>
      <c r="AW12" s="42">
        <v>0</v>
      </c>
    </row>
    <row r="13" ht="11.25" hidden="1" customHeight="1" spans="1:49">
      <c r="A13" s="499"/>
      <c r="B13" s="499"/>
      <c r="C13" s="499"/>
      <c r="D13" s="499"/>
      <c r="E13" s="1130"/>
      <c r="F13" s="1130"/>
      <c r="G13" s="1130"/>
      <c r="H13" s="1130"/>
      <c r="I13" s="63"/>
      <c r="J13" s="499"/>
      <c r="K13" s="499"/>
      <c r="L13" s="499"/>
      <c r="M13" s="533"/>
      <c r="N13" s="42"/>
      <c r="Q13" s="92"/>
      <c r="R13" s="92"/>
      <c r="S13" s="92"/>
      <c r="T13" s="93"/>
      <c r="U13" s="104"/>
      <c r="V13" s="109" t="s">
        <v>417</v>
      </c>
      <c r="W13" s="106"/>
      <c r="X13" s="106"/>
      <c r="Y13" s="106"/>
      <c r="Z13" s="106"/>
      <c r="AA13" s="106"/>
      <c r="AB13" s="106"/>
      <c r="AC13" s="106"/>
      <c r="AD13" s="106"/>
      <c r="AE13" s="106"/>
      <c r="AF13" s="146"/>
      <c r="AG13" s="106"/>
      <c r="AH13" s="106"/>
      <c r="AI13" s="106"/>
      <c r="AJ13" s="106"/>
      <c r="AK13" s="106"/>
      <c r="AL13" s="106"/>
      <c r="AM13" s="106"/>
      <c r="AN13" s="106"/>
      <c r="AO13" s="146"/>
      <c r="AP13" s="106"/>
      <c r="AQ13" s="147"/>
      <c r="AS13" s="150"/>
      <c r="AT13" s="150" t="str">
        <f t="shared" si="1"/>
        <v>Добавить группу потребителей</v>
      </c>
      <c r="AU13" s="150"/>
      <c r="AV13" s="150"/>
      <c r="AW13" s="42">
        <v>0</v>
      </c>
    </row>
    <row r="14" hidden="1" customHeight="1" spans="1:49">
      <c r="A14" s="499"/>
      <c r="B14" s="499"/>
      <c r="C14" s="499"/>
      <c r="D14" s="499"/>
      <c r="E14" s="1130"/>
      <c r="F14" s="1130"/>
      <c r="G14" s="1130"/>
      <c r="H14" s="1129"/>
      <c r="I14" s="499"/>
      <c r="J14" s="499"/>
      <c r="K14" s="499"/>
      <c r="L14" s="499"/>
      <c r="M14" s="533"/>
      <c r="N14" s="41"/>
      <c r="O14" s="41"/>
      <c r="P14" s="42"/>
      <c r="Q14" s="80"/>
      <c r="R14" s="108"/>
      <c r="S14" s="81"/>
      <c r="T14" s="80"/>
      <c r="U14" s="1065"/>
      <c r="V14" s="1066"/>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109"/>
      <c r="AS14" s="150"/>
      <c r="AT14" s="150" t="str">
        <f t="shared" si="1"/>
        <v/>
      </c>
      <c r="AU14" s="150"/>
      <c r="AV14" s="150"/>
      <c r="AW14" s="42">
        <v>0</v>
      </c>
    </row>
    <row r="15" s="43" customFormat="1" hidden="1" customHeight="1" spans="1:49">
      <c r="A15" s="1131"/>
      <c r="B15" s="1131"/>
      <c r="C15" s="1131"/>
      <c r="D15" s="1131"/>
      <c r="E15" s="1130"/>
      <c r="F15" s="1130"/>
      <c r="G15" s="1129"/>
      <c r="H15" s="1131"/>
      <c r="I15" s="1131"/>
      <c r="J15" s="1131"/>
      <c r="K15" s="1131"/>
      <c r="L15" s="1131"/>
      <c r="M15" s="1133"/>
      <c r="N15" s="1134"/>
      <c r="O15" s="1134"/>
      <c r="P15" s="36"/>
      <c r="Q15" s="151"/>
      <c r="R15" s="1068"/>
      <c r="S15" s="151"/>
      <c r="T15" s="151"/>
      <c r="U15" s="1151"/>
      <c r="V15" s="1152" t="s">
        <v>419</v>
      </c>
      <c r="W15" s="1153"/>
      <c r="X15" s="1153"/>
      <c r="Y15" s="1153"/>
      <c r="Z15" s="1153"/>
      <c r="AA15" s="1153"/>
      <c r="AB15" s="1153"/>
      <c r="AC15" s="1153"/>
      <c r="AD15" s="1153"/>
      <c r="AE15" s="1153"/>
      <c r="AF15" s="1153"/>
      <c r="AG15" s="1153"/>
      <c r="AH15" s="1153"/>
      <c r="AI15" s="1153"/>
      <c r="AJ15" s="1153"/>
      <c r="AK15" s="1153"/>
      <c r="AL15" s="1153"/>
      <c r="AM15" s="1153"/>
      <c r="AN15" s="1153"/>
      <c r="AO15" s="1153"/>
      <c r="AP15" s="1153"/>
      <c r="AQ15" s="1153"/>
      <c r="AS15" s="150"/>
      <c r="AT15" s="150" t="str">
        <f t="shared" si="1"/>
        <v>Добавить источник для дифференциации</v>
      </c>
      <c r="AU15" s="150"/>
      <c r="AV15" s="150"/>
      <c r="AW15" s="43">
        <v>0</v>
      </c>
    </row>
    <row r="16" s="43" customFormat="1" hidden="1" customHeight="1" spans="1:49">
      <c r="A16" s="1131"/>
      <c r="B16" s="1131"/>
      <c r="C16" s="1131"/>
      <c r="D16" s="1131"/>
      <c r="E16" s="1130"/>
      <c r="F16" s="1129"/>
      <c r="G16" s="1131"/>
      <c r="H16" s="1131"/>
      <c r="I16" s="1131"/>
      <c r="J16" s="1131"/>
      <c r="K16" s="1131"/>
      <c r="L16" s="1131"/>
      <c r="M16" s="1133"/>
      <c r="N16" s="1135"/>
      <c r="O16" s="1135"/>
      <c r="P16" s="36"/>
      <c r="Q16" s="151"/>
      <c r="R16" s="1068"/>
      <c r="S16" s="151"/>
      <c r="T16" s="151"/>
      <c r="U16" s="1070"/>
      <c r="V16" s="1154" t="s">
        <v>251</v>
      </c>
      <c r="W16" s="306"/>
      <c r="X16" s="306"/>
      <c r="Y16" s="306"/>
      <c r="Z16" s="306"/>
      <c r="AA16" s="306"/>
      <c r="AB16" s="306"/>
      <c r="AC16" s="306"/>
      <c r="AD16" s="306"/>
      <c r="AE16" s="306"/>
      <c r="AF16" s="306"/>
      <c r="AG16" s="306"/>
      <c r="AH16" s="306"/>
      <c r="AI16" s="306"/>
      <c r="AJ16" s="306"/>
      <c r="AK16" s="306"/>
      <c r="AL16" s="306"/>
      <c r="AM16" s="306"/>
      <c r="AN16" s="306"/>
      <c r="AO16" s="306"/>
      <c r="AP16" s="306"/>
      <c r="AQ16" s="306"/>
      <c r="AS16" s="150"/>
      <c r="AT16" s="150" t="str">
        <f t="shared" si="1"/>
        <v>Добавить централизованную систему для дифференциации</v>
      </c>
      <c r="AU16" s="150"/>
      <c r="AV16" s="150"/>
      <c r="AW16" s="43">
        <v>0</v>
      </c>
    </row>
    <row r="17" s="43" customFormat="1" hidden="1" customHeight="1" spans="1:49">
      <c r="A17" s="1131"/>
      <c r="B17" s="1131"/>
      <c r="C17" s="1131"/>
      <c r="D17" s="1131"/>
      <c r="E17" s="1129"/>
      <c r="F17" s="1131"/>
      <c r="G17" s="1131"/>
      <c r="H17" s="1131"/>
      <c r="I17" s="1131"/>
      <c r="J17" s="1131"/>
      <c r="K17" s="1131"/>
      <c r="L17" s="1131"/>
      <c r="M17" s="1133"/>
      <c r="N17" s="1135"/>
      <c r="O17" s="1135"/>
      <c r="P17" s="36"/>
      <c r="Q17" s="151"/>
      <c r="R17" s="1068"/>
      <c r="S17" s="151"/>
      <c r="T17" s="151"/>
      <c r="U17" s="1070"/>
      <c r="V17" s="1071" t="s">
        <v>252</v>
      </c>
      <c r="W17" s="306"/>
      <c r="X17" s="306"/>
      <c r="Y17" s="306"/>
      <c r="Z17" s="306"/>
      <c r="AA17" s="306"/>
      <c r="AB17" s="306"/>
      <c r="AC17" s="306"/>
      <c r="AD17" s="306"/>
      <c r="AE17" s="306"/>
      <c r="AF17" s="306"/>
      <c r="AG17" s="306"/>
      <c r="AH17" s="306"/>
      <c r="AI17" s="306"/>
      <c r="AJ17" s="306"/>
      <c r="AK17" s="306"/>
      <c r="AL17" s="306"/>
      <c r="AM17" s="306"/>
      <c r="AN17" s="306"/>
      <c r="AO17" s="306"/>
      <c r="AP17" s="306"/>
      <c r="AQ17" s="306"/>
      <c r="AS17" s="150"/>
      <c r="AT17" s="150" t="str">
        <f t="shared" si="1"/>
        <v>Добавить территорию для дифференциации</v>
      </c>
      <c r="AU17" s="150"/>
      <c r="AV17" s="150"/>
      <c r="AW17" s="43">
        <v>0</v>
      </c>
    </row>
    <row r="18" hidden="1" customHeight="1" spans="49:49">
      <c r="AW18" s="42">
        <v>0</v>
      </c>
    </row>
    <row r="19" hidden="1" customHeight="1" spans="33:49">
      <c r="AG19" s="489"/>
      <c r="AH19" s="489"/>
      <c r="AI19" s="489"/>
      <c r="AJ19" s="489"/>
      <c r="AK19" s="1118"/>
      <c r="AL19" s="1119"/>
      <c r="AM19" s="352" t="s">
        <v>62</v>
      </c>
      <c r="AN19" s="1119"/>
      <c r="AO19" s="352" t="s">
        <v>62</v>
      </c>
      <c r="AW19" s="42">
        <v>0</v>
      </c>
    </row>
    <row r="20" hidden="1" customHeight="1" spans="33:49">
      <c r="AG20" s="489"/>
      <c r="AH20" s="489"/>
      <c r="AI20" s="489"/>
      <c r="AJ20" s="489"/>
      <c r="AK20" s="1118"/>
      <c r="AL20" s="1119"/>
      <c r="AM20" s="352"/>
      <c r="AN20" s="1119"/>
      <c r="AO20" s="352"/>
      <c r="AW20" s="42">
        <v>0</v>
      </c>
    </row>
    <row r="21" hidden="1" customHeight="1" spans="33:49">
      <c r="AG21" s="489"/>
      <c r="AH21" s="489"/>
      <c r="AI21" s="489"/>
      <c r="AJ21" s="489"/>
      <c r="AK21" s="1118"/>
      <c r="AL21" s="1119"/>
      <c r="AM21" s="352"/>
      <c r="AN21" s="1119"/>
      <c r="AO21" s="352"/>
      <c r="AW21" s="42">
        <v>0</v>
      </c>
    </row>
    <row r="22" hidden="1" customHeight="1" spans="33:49">
      <c r="AG22" s="489"/>
      <c r="AH22" s="489"/>
      <c r="AI22" s="489"/>
      <c r="AJ22" s="489"/>
      <c r="AK22" s="141" t="str">
        <f>AL19&amp;"-"&amp;AN19</f>
        <v>-</v>
      </c>
      <c r="AL22" s="352"/>
      <c r="AM22" s="352"/>
      <c r="AN22" s="352"/>
      <c r="AO22" s="352"/>
      <c r="AW22" s="42">
        <v>0</v>
      </c>
    </row>
    <row r="23" hidden="1" customHeight="1" spans="49:49">
      <c r="AW23" s="42">
        <v>0</v>
      </c>
    </row>
    <row r="24" s="37" customFormat="1" ht="22.5" hidden="1" customHeight="1" spans="1:49">
      <c r="A24" s="42"/>
      <c r="B24" s="42"/>
      <c r="C24" s="42"/>
      <c r="D24" s="42"/>
      <c r="E24" s="42"/>
      <c r="F24" s="42"/>
      <c r="G24" s="42"/>
      <c r="H24" s="42"/>
      <c r="I24" s="42"/>
      <c r="J24" s="42"/>
      <c r="K24" s="42"/>
      <c r="L24" s="42"/>
      <c r="M24" s="85"/>
      <c r="N24" s="39"/>
      <c r="O24" s="39"/>
      <c r="P24" s="1084" t="s">
        <v>420</v>
      </c>
      <c r="Q24" s="38"/>
      <c r="R24" s="1037"/>
      <c r="S24" s="1037"/>
      <c r="T24" s="1037"/>
      <c r="U24" s="46"/>
      <c r="AC24" s="1046"/>
      <c r="AE24" s="1046"/>
      <c r="AL24" s="1046"/>
      <c r="AN24" s="1046"/>
      <c r="AR24" s="43"/>
      <c r="AS24" s="43"/>
      <c r="AT24" s="43"/>
      <c r="AU24" s="43"/>
      <c r="AV24" s="43"/>
      <c r="AW24" s="37">
        <v>0</v>
      </c>
    </row>
    <row r="25" s="37" customFormat="1" hidden="1" customHeight="1" spans="1:49">
      <c r="A25" s="42"/>
      <c r="B25" s="42"/>
      <c r="C25" s="42"/>
      <c r="D25" s="42"/>
      <c r="E25" s="42"/>
      <c r="F25" s="42"/>
      <c r="G25" s="42"/>
      <c r="H25" s="42"/>
      <c r="I25" s="42"/>
      <c r="J25" s="42"/>
      <c r="K25" s="42"/>
      <c r="L25" s="42"/>
      <c r="M25" s="85"/>
      <c r="N25" s="39"/>
      <c r="O25" s="39"/>
      <c r="P25" s="39"/>
      <c r="Q25" s="38"/>
      <c r="R25" s="1037"/>
      <c r="S25" s="1037"/>
      <c r="T25" s="1037"/>
      <c r="U25" s="46"/>
      <c r="AR25" s="43"/>
      <c r="AS25" s="43"/>
      <c r="AT25" s="43"/>
      <c r="AU25" s="43"/>
      <c r="AV25" s="43"/>
      <c r="AW25" s="37">
        <v>0</v>
      </c>
    </row>
    <row r="26" s="37" customFormat="1" hidden="1" customHeight="1" spans="1:49">
      <c r="A26" s="42"/>
      <c r="B26" s="42"/>
      <c r="C26" s="42"/>
      <c r="D26" s="42"/>
      <c r="E26" s="42"/>
      <c r="F26" s="42"/>
      <c r="G26" s="42"/>
      <c r="H26" s="42"/>
      <c r="I26" s="42"/>
      <c r="J26" s="42"/>
      <c r="K26" s="42"/>
      <c r="L26" s="42"/>
      <c r="M26" s="85"/>
      <c r="N26" s="39"/>
      <c r="O26" s="39"/>
      <c r="P26" s="533" t="s">
        <v>421</v>
      </c>
      <c r="Q26" s="38"/>
      <c r="R26" s="1037"/>
      <c r="S26" s="1037"/>
      <c r="T26" s="1037"/>
      <c r="U26" s="46"/>
      <c r="V26" s="37" t="s">
        <v>422</v>
      </c>
      <c r="AD26" s="44" t="s">
        <v>423</v>
      </c>
      <c r="AF26" s="44" t="s">
        <v>424</v>
      </c>
      <c r="AG26" s="37" t="s">
        <v>422</v>
      </c>
      <c r="AM26" s="44" t="s">
        <v>425</v>
      </c>
      <c r="AO26" s="44" t="s">
        <v>424</v>
      </c>
      <c r="AR26" s="43"/>
      <c r="AS26" s="43"/>
      <c r="AT26" s="43"/>
      <c r="AU26" s="43"/>
      <c r="AV26" s="43"/>
      <c r="AW26" s="37">
        <v>0</v>
      </c>
    </row>
    <row r="27" hidden="1" customHeight="1" spans="16:49">
      <c r="P27" s="533"/>
      <c r="AW27" s="42">
        <v>0</v>
      </c>
    </row>
    <row r="28" hidden="1" customHeight="1" spans="16:49">
      <c r="P28" s="533"/>
      <c r="AW28" s="42">
        <v>0</v>
      </c>
    </row>
    <row r="29" ht="14.7" customHeight="1" spans="18:49">
      <c r="R29" s="50"/>
      <c r="S29" s="50"/>
      <c r="T29" s="50"/>
      <c r="U29" s="51"/>
      <c r="V29" s="52"/>
      <c r="W29" s="52"/>
      <c r="AW29" s="42">
        <v>14</v>
      </c>
    </row>
    <row r="30" ht="56.7" customHeight="1" spans="18:49">
      <c r="R30" s="50"/>
      <c r="S30" s="50"/>
      <c r="T30" s="50"/>
      <c r="U30" s="75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750"/>
      <c r="W30" s="750"/>
      <c r="X30" s="750"/>
      <c r="Y30" s="750"/>
      <c r="Z30" s="750"/>
      <c r="AA30" s="750"/>
      <c r="AB30" s="750"/>
      <c r="AC30" s="750"/>
      <c r="AD30" s="750"/>
      <c r="AE30" s="750"/>
      <c r="AF30" s="750"/>
      <c r="AG30" s="750"/>
      <c r="AH30" s="750"/>
      <c r="AI30" s="750"/>
      <c r="AJ30" s="750"/>
      <c r="AK30" s="750"/>
      <c r="AL30" s="750"/>
      <c r="AM30" s="750"/>
      <c r="AN30" s="750"/>
      <c r="AO30" s="120"/>
      <c r="AW30" s="42">
        <v>54</v>
      </c>
    </row>
    <row r="31" ht="14.7" customHeight="1" spans="18:49">
      <c r="R31" s="50"/>
      <c r="S31" s="50"/>
      <c r="T31" s="50"/>
      <c r="U31" s="657" t="str">
        <f>IF(org=0,"Не определено",org)</f>
        <v>АО "ОЭЗ ППТ "Алабуга"</v>
      </c>
      <c r="V31" s="657"/>
      <c r="W31" s="657"/>
      <c r="X31" s="657"/>
      <c r="Y31" s="657"/>
      <c r="Z31" s="657"/>
      <c r="AA31" s="657"/>
      <c r="AB31" s="657"/>
      <c r="AC31" s="657"/>
      <c r="AD31" s="657"/>
      <c r="AE31" s="657"/>
      <c r="AF31" s="657"/>
      <c r="AG31" s="657"/>
      <c r="AH31" s="657"/>
      <c r="AI31" s="657"/>
      <c r="AJ31" s="657"/>
      <c r="AK31" s="657"/>
      <c r="AL31" s="657"/>
      <c r="AM31" s="657"/>
      <c r="AN31" s="657"/>
      <c r="AO31" s="120"/>
      <c r="AW31" s="42">
        <v>14</v>
      </c>
    </row>
    <row r="32" customHeight="1" spans="18:49">
      <c r="R32" s="50"/>
      <c r="S32" s="50"/>
      <c r="T32" s="50"/>
      <c r="U32" s="51"/>
      <c r="V32" s="52"/>
      <c r="W32" s="52"/>
      <c r="X32" s="55"/>
      <c r="Y32" s="55"/>
      <c r="Z32" s="55"/>
      <c r="AA32" s="55"/>
      <c r="AB32" s="55"/>
      <c r="AC32" s="55"/>
      <c r="AD32" s="55"/>
      <c r="AE32" s="55"/>
      <c r="AF32" s="55"/>
      <c r="AG32" s="55"/>
      <c r="AH32" s="55"/>
      <c r="AI32" s="55"/>
      <c r="AJ32" s="55"/>
      <c r="AK32" s="55"/>
      <c r="AL32" s="55"/>
      <c r="AM32" s="55"/>
      <c r="AN32" s="55"/>
      <c r="AO32" s="55"/>
      <c r="AW32" s="42">
        <v>0</v>
      </c>
    </row>
    <row r="33" s="35" customFormat="1" ht="25.5" customHeight="1" spans="1:49">
      <c r="A33" s="500"/>
      <c r="B33" s="500"/>
      <c r="C33" s="500"/>
      <c r="D33" s="500"/>
      <c r="E33" s="500"/>
      <c r="F33" s="500"/>
      <c r="G33" s="500"/>
      <c r="H33" s="500"/>
      <c r="I33" s="500"/>
      <c r="J33" s="500"/>
      <c r="K33" s="500"/>
      <c r="L33" s="500"/>
      <c r="M33" s="533"/>
      <c r="N33" s="500"/>
      <c r="O33" s="500"/>
      <c r="P33" s="500"/>
      <c r="U33" s="57" t="s">
        <v>42</v>
      </c>
      <c r="V33" s="57"/>
      <c r="W33" s="1074"/>
      <c r="X33" s="59" t="str">
        <f>IF(TITLE_NAME_OR_PR_CHANGE="",IF(TITLE_NAME_OR_PR="","",TITLE_NAME_OR_PR),TITLE_NAME_OR_PR_CHANGE)</f>
        <v>Государственный комитет РТ по тарифам</v>
      </c>
      <c r="Y33" s="59"/>
      <c r="Z33" s="59"/>
      <c r="AA33" s="59"/>
      <c r="AB33" s="59"/>
      <c r="AC33" s="59"/>
      <c r="AD33" s="59"/>
      <c r="AE33" s="59"/>
      <c r="AF33" s="42"/>
      <c r="AG33" s="59" t="str">
        <f>IF(TITLE_NAME_OR_PR_CHANGE="",IF(TITLE_NAME_OR_PR="","",TITLE_NAME_OR_PR),TITLE_NAME_OR_PR_CHANGE)</f>
        <v>Государственный комитет РТ по тарифам</v>
      </c>
      <c r="AH33" s="59"/>
      <c r="AI33" s="59"/>
      <c r="AJ33" s="59"/>
      <c r="AK33" s="59"/>
      <c r="AL33" s="59"/>
      <c r="AM33" s="59"/>
      <c r="AN33" s="59"/>
      <c r="AO33" s="42"/>
      <c r="AP33" s="42"/>
      <c r="AQ33" s="121"/>
      <c r="AR33" s="150"/>
      <c r="AS33" s="150"/>
      <c r="AT33" s="150"/>
      <c r="AU33" s="150"/>
      <c r="AV33" s="150"/>
      <c r="AW33" s="35">
        <v>0</v>
      </c>
    </row>
    <row r="34" s="35" customFormat="1" ht="18.75" customHeight="1" spans="1:49">
      <c r="A34" s="500"/>
      <c r="B34" s="500"/>
      <c r="C34" s="500"/>
      <c r="D34" s="500"/>
      <c r="E34" s="500"/>
      <c r="F34" s="500"/>
      <c r="G34" s="500"/>
      <c r="H34" s="500"/>
      <c r="I34" s="500"/>
      <c r="J34" s="500"/>
      <c r="K34" s="500"/>
      <c r="L34" s="500"/>
      <c r="M34" s="533"/>
      <c r="N34" s="500"/>
      <c r="O34" s="500"/>
      <c r="P34" s="500"/>
      <c r="U34" s="57" t="s">
        <v>426</v>
      </c>
      <c r="V34" s="57"/>
      <c r="W34" s="1074"/>
      <c r="X34" s="788">
        <f>IF(TITLE_DATE_PR_CHANGE="",IF(TITLE_DATE_PR="","",TITLE_DATE_PR),TITLE_DATE_PR_CHANGE)</f>
        <v>45525</v>
      </c>
      <c r="Y34" s="788"/>
      <c r="Z34" s="788"/>
      <c r="AA34" s="788"/>
      <c r="AB34" s="788"/>
      <c r="AC34" s="788"/>
      <c r="AD34" s="788"/>
      <c r="AE34" s="788"/>
      <c r="AF34" s="42"/>
      <c r="AG34" s="788">
        <f>IF(TITLE_DATE_PR_CHANGE="",IF(TITLE_DATE_PR="","",TITLE_DATE_PR),TITLE_DATE_PR_CHANGE)</f>
        <v>45525</v>
      </c>
      <c r="AH34" s="788"/>
      <c r="AI34" s="788"/>
      <c r="AJ34" s="788"/>
      <c r="AK34" s="788"/>
      <c r="AL34" s="788"/>
      <c r="AM34" s="788"/>
      <c r="AN34" s="788"/>
      <c r="AO34" s="42"/>
      <c r="AP34" s="42"/>
      <c r="AQ34" s="121"/>
      <c r="AR34" s="150"/>
      <c r="AS34" s="150"/>
      <c r="AT34" s="150"/>
      <c r="AU34" s="150"/>
      <c r="AV34" s="150"/>
      <c r="AW34" s="35">
        <v>0</v>
      </c>
    </row>
    <row r="35" s="35" customFormat="1" ht="18.75" customHeight="1" spans="1:49">
      <c r="A35" s="500"/>
      <c r="B35" s="500"/>
      <c r="C35" s="500"/>
      <c r="D35" s="500"/>
      <c r="E35" s="500"/>
      <c r="F35" s="500"/>
      <c r="G35" s="500"/>
      <c r="H35" s="500"/>
      <c r="I35" s="500"/>
      <c r="J35" s="500"/>
      <c r="K35" s="500"/>
      <c r="L35" s="500"/>
      <c r="M35" s="533"/>
      <c r="N35" s="500"/>
      <c r="O35" s="500"/>
      <c r="P35" s="500"/>
      <c r="U35" s="57" t="s">
        <v>427</v>
      </c>
      <c r="V35" s="57"/>
      <c r="W35" s="1074"/>
      <c r="X35" s="59" t="str">
        <f>IF(TITLE_NUMBER_PR_CHANGE="",IF(TITLE_NUMBER_PR="","",TITLE_NUMBER_PR),TITLE_NUMBER_PR_CHANGE)</f>
        <v>108-73/тп-2024</v>
      </c>
      <c r="Y35" s="59"/>
      <c r="Z35" s="59"/>
      <c r="AA35" s="59"/>
      <c r="AB35" s="59"/>
      <c r="AC35" s="59"/>
      <c r="AD35" s="59"/>
      <c r="AE35" s="59"/>
      <c r="AF35" s="42"/>
      <c r="AG35" s="59" t="str">
        <f>IF(TITLE_NUMBER_PR_CHANGE="",IF(TITLE_NUMBER_PR="","",TITLE_NUMBER_PR),TITLE_NUMBER_PR_CHANGE)</f>
        <v>108-73/тп-2024</v>
      </c>
      <c r="AH35" s="59"/>
      <c r="AI35" s="59"/>
      <c r="AJ35" s="59"/>
      <c r="AK35" s="59"/>
      <c r="AL35" s="59"/>
      <c r="AM35" s="59"/>
      <c r="AN35" s="59"/>
      <c r="AO35" s="42"/>
      <c r="AP35" s="42"/>
      <c r="AQ35" s="121"/>
      <c r="AR35" s="150"/>
      <c r="AS35" s="150"/>
      <c r="AT35" s="150"/>
      <c r="AU35" s="150"/>
      <c r="AV35" s="150"/>
      <c r="AW35" s="35">
        <v>0</v>
      </c>
    </row>
    <row r="36" s="35" customFormat="1" ht="18.75" customHeight="1" spans="1:49">
      <c r="A36" s="500"/>
      <c r="B36" s="500"/>
      <c r="C36" s="500"/>
      <c r="D36" s="500"/>
      <c r="E36" s="500"/>
      <c r="F36" s="500"/>
      <c r="G36" s="500"/>
      <c r="H36" s="500"/>
      <c r="I36" s="500"/>
      <c r="J36" s="500"/>
      <c r="K36" s="500"/>
      <c r="L36" s="500"/>
      <c r="M36" s="533"/>
      <c r="N36" s="500"/>
      <c r="O36" s="500"/>
      <c r="P36" s="500"/>
      <c r="U36" s="57" t="s">
        <v>44</v>
      </c>
      <c r="V36" s="57"/>
      <c r="W36" s="1074"/>
      <c r="X36" s="59" t="str">
        <f>IF(TITLE_IST_PUB_CHANGE="",IF(TITLE_IST_PUB="","",TITLE_IST_PUB),TITLE_IST_PUB_CHANGE)</f>
        <v>"Официальный портал правовой информации
Республики Татарстан"</v>
      </c>
      <c r="Y36" s="59"/>
      <c r="Z36" s="59"/>
      <c r="AA36" s="59"/>
      <c r="AB36" s="59"/>
      <c r="AC36" s="59"/>
      <c r="AD36" s="59"/>
      <c r="AE36" s="59"/>
      <c r="AF36" s="42"/>
      <c r="AG36" s="59" t="str">
        <f>IF(TITLE_IST_PUB_CHANGE="",IF(TITLE_IST_PUB="","",TITLE_IST_PUB),TITLE_IST_PUB_CHANGE)</f>
        <v>"Официальный портал правовой информации
Республики Татарстан"</v>
      </c>
      <c r="AH36" s="59"/>
      <c r="AI36" s="59"/>
      <c r="AJ36" s="59"/>
      <c r="AK36" s="59"/>
      <c r="AL36" s="59"/>
      <c r="AM36" s="59"/>
      <c r="AN36" s="59"/>
      <c r="AO36" s="42"/>
      <c r="AP36" s="42"/>
      <c r="AQ36" s="121"/>
      <c r="AR36" s="150"/>
      <c r="AS36" s="150"/>
      <c r="AT36" s="150"/>
      <c r="AU36" s="150"/>
      <c r="AV36" s="150"/>
      <c r="AW36" s="35">
        <v>0</v>
      </c>
    </row>
    <row r="37" hidden="1" customHeight="1" spans="18:49">
      <c r="R37" s="50"/>
      <c r="S37" s="50"/>
      <c r="T37" s="50"/>
      <c r="U37" s="51"/>
      <c r="V37" s="52"/>
      <c r="W37" s="52"/>
      <c r="X37" s="55"/>
      <c r="Y37" s="55"/>
      <c r="Z37" s="55"/>
      <c r="AA37" s="55"/>
      <c r="AB37" s="55"/>
      <c r="AC37" s="55"/>
      <c r="AD37" s="55"/>
      <c r="AE37" s="55"/>
      <c r="AF37" s="55"/>
      <c r="AG37" s="55"/>
      <c r="AH37" s="55"/>
      <c r="AI37" s="55"/>
      <c r="AJ37" s="55"/>
      <c r="AK37" s="55"/>
      <c r="AL37" s="55"/>
      <c r="AM37" s="55"/>
      <c r="AN37" s="55"/>
      <c r="AO37" s="55"/>
      <c r="AW37" s="42">
        <v>0</v>
      </c>
    </row>
    <row r="38" s="35" customFormat="1" ht="18.75" hidden="1" customHeight="1" spans="1:49">
      <c r="A38" s="500"/>
      <c r="B38" s="500"/>
      <c r="C38" s="500"/>
      <c r="D38" s="500"/>
      <c r="E38" s="500"/>
      <c r="F38" s="500"/>
      <c r="G38" s="500"/>
      <c r="H38" s="500"/>
      <c r="I38" s="500"/>
      <c r="J38" s="500"/>
      <c r="K38" s="500"/>
      <c r="L38" s="500"/>
      <c r="M38" s="533"/>
      <c r="N38" s="500"/>
      <c r="O38" s="500"/>
      <c r="P38" s="500"/>
      <c r="U38" s="57" t="s">
        <v>428</v>
      </c>
      <c r="V38" s="57"/>
      <c r="W38" s="1074"/>
      <c r="X38" s="788">
        <f>IF(TITLE_DATE_PR_CHANGE="",IF(TITLE_DATE_PR="","",TITLE_DATE_PR),TITLE_DATE_PR_CHANGE)</f>
        <v>45525</v>
      </c>
      <c r="Y38" s="788"/>
      <c r="Z38" s="788"/>
      <c r="AA38" s="788"/>
      <c r="AB38" s="788"/>
      <c r="AC38" s="788"/>
      <c r="AD38" s="788"/>
      <c r="AE38" s="788"/>
      <c r="AF38" s="42"/>
      <c r="AG38" s="788">
        <f>IF(TITLE_DATE_PR_CHANGE="",IF(TITLE_DATE_PR="","",TITLE_DATE_PR),TITLE_DATE_PR_CHANGE)</f>
        <v>45525</v>
      </c>
      <c r="AH38" s="788"/>
      <c r="AI38" s="788"/>
      <c r="AJ38" s="788"/>
      <c r="AK38" s="788"/>
      <c r="AL38" s="788"/>
      <c r="AM38" s="788"/>
      <c r="AN38" s="788"/>
      <c r="AO38" s="42"/>
      <c r="AP38" s="42"/>
      <c r="AQ38" s="121"/>
      <c r="AR38" s="150"/>
      <c r="AS38" s="150"/>
      <c r="AT38" s="150"/>
      <c r="AU38" s="150"/>
      <c r="AV38" s="150"/>
      <c r="AW38" s="35">
        <v>0</v>
      </c>
    </row>
    <row r="39" s="35" customFormat="1" ht="18.75" hidden="1" customHeight="1" spans="1:49">
      <c r="A39" s="500"/>
      <c r="B39" s="500"/>
      <c r="C39" s="500"/>
      <c r="D39" s="500"/>
      <c r="E39" s="500"/>
      <c r="F39" s="500"/>
      <c r="G39" s="500"/>
      <c r="H39" s="500"/>
      <c r="I39" s="500"/>
      <c r="J39" s="500"/>
      <c r="K39" s="500"/>
      <c r="L39" s="500"/>
      <c r="M39" s="533"/>
      <c r="N39" s="500"/>
      <c r="O39" s="500"/>
      <c r="P39" s="500"/>
      <c r="U39" s="57" t="s">
        <v>429</v>
      </c>
      <c r="V39" s="57"/>
      <c r="W39" s="1074"/>
      <c r="X39" s="59" t="str">
        <f>IF(TITLE_NUMBER_PR_CHANGE="",IF(TITLE_NUMBER_PR="","",TITLE_NUMBER_PR),TITLE_NUMBER_PR_CHANGE)</f>
        <v>108-73/тп-2024</v>
      </c>
      <c r="Y39" s="59"/>
      <c r="Z39" s="59"/>
      <c r="AA39" s="59"/>
      <c r="AB39" s="59"/>
      <c r="AC39" s="59"/>
      <c r="AD39" s="59"/>
      <c r="AE39" s="59"/>
      <c r="AF39" s="42"/>
      <c r="AG39" s="59" t="str">
        <f>IF(TITLE_NUMBER_PR_CHANGE="",IF(TITLE_NUMBER_PR="","",TITLE_NUMBER_PR),TITLE_NUMBER_PR_CHANGE)</f>
        <v>108-73/тп-2024</v>
      </c>
      <c r="AH39" s="59"/>
      <c r="AI39" s="59"/>
      <c r="AJ39" s="59"/>
      <c r="AK39" s="59"/>
      <c r="AL39" s="59"/>
      <c r="AM39" s="59"/>
      <c r="AN39" s="59"/>
      <c r="AO39" s="42"/>
      <c r="AP39" s="42"/>
      <c r="AQ39" s="121"/>
      <c r="AR39" s="150"/>
      <c r="AS39" s="150"/>
      <c r="AT39" s="150"/>
      <c r="AU39" s="150"/>
      <c r="AV39" s="150"/>
      <c r="AW39" s="35">
        <v>0</v>
      </c>
    </row>
    <row r="40" s="35" customFormat="1" hidden="1" customHeight="1" spans="1:49">
      <c r="A40" s="500"/>
      <c r="B40" s="500"/>
      <c r="C40" s="500"/>
      <c r="D40" s="500"/>
      <c r="E40" s="500"/>
      <c r="F40" s="500"/>
      <c r="G40" s="500"/>
      <c r="H40" s="500"/>
      <c r="I40" s="500"/>
      <c r="J40" s="500"/>
      <c r="K40" s="500"/>
      <c r="L40" s="500"/>
      <c r="M40" s="533"/>
      <c r="N40" s="500"/>
      <c r="O40" s="500"/>
      <c r="P40" s="500"/>
      <c r="U40" s="42"/>
      <c r="V40" s="42"/>
      <c r="W40" s="60"/>
      <c r="X40" s="42"/>
      <c r="Y40" s="42"/>
      <c r="Z40" s="42"/>
      <c r="AA40" s="42"/>
      <c r="AB40" s="42"/>
      <c r="AC40" s="42"/>
      <c r="AD40" s="42"/>
      <c r="AE40" s="42"/>
      <c r="AF40" s="43" t="s">
        <v>430</v>
      </c>
      <c r="AG40" s="42"/>
      <c r="AH40" s="42"/>
      <c r="AI40" s="42"/>
      <c r="AJ40" s="42"/>
      <c r="AK40" s="42"/>
      <c r="AL40" s="42"/>
      <c r="AM40" s="42"/>
      <c r="AN40" s="42"/>
      <c r="AO40" s="43" t="s">
        <v>430</v>
      </c>
      <c r="AR40" s="150"/>
      <c r="AS40" s="150"/>
      <c r="AT40" s="150"/>
      <c r="AU40" s="150"/>
      <c r="AV40" s="150"/>
      <c r="AW40" s="35">
        <v>0</v>
      </c>
    </row>
    <row r="41" ht="14.7" customHeight="1" spans="18:49">
      <c r="R41" s="50"/>
      <c r="S41" s="50"/>
      <c r="T41" s="50"/>
      <c r="U41" s="51"/>
      <c r="V41" s="52"/>
      <c r="W41" s="61"/>
      <c r="X41" s="62"/>
      <c r="Y41" s="62"/>
      <c r="Z41" s="62"/>
      <c r="AA41" s="62"/>
      <c r="AB41" s="62"/>
      <c r="AC41" s="62"/>
      <c r="AD41" s="62"/>
      <c r="AE41" s="62"/>
      <c r="AF41" s="62"/>
      <c r="AG41" s="62"/>
      <c r="AH41" s="62"/>
      <c r="AI41" s="62"/>
      <c r="AJ41" s="62"/>
      <c r="AK41" s="62"/>
      <c r="AL41" s="62"/>
      <c r="AM41" s="62"/>
      <c r="AN41" s="62"/>
      <c r="AO41" s="62"/>
      <c r="AW41" s="42">
        <v>14</v>
      </c>
    </row>
    <row r="42" ht="14.7" customHeight="1" spans="18:49">
      <c r="R42" s="50"/>
      <c r="S42" s="50"/>
      <c r="T42" s="50"/>
      <c r="U42" s="63" t="s">
        <v>305</v>
      </c>
      <c r="V42" s="63"/>
      <c r="W42" s="63"/>
      <c r="X42" s="63"/>
      <c r="Y42" s="63"/>
      <c r="Z42" s="63"/>
      <c r="AA42" s="63"/>
      <c r="AB42" s="63"/>
      <c r="AC42" s="63"/>
      <c r="AD42" s="63"/>
      <c r="AE42" s="63"/>
      <c r="AF42" s="63"/>
      <c r="AG42" s="63"/>
      <c r="AH42" s="63"/>
      <c r="AI42" s="63"/>
      <c r="AJ42" s="63"/>
      <c r="AK42" s="63"/>
      <c r="AL42" s="63"/>
      <c r="AM42" s="63"/>
      <c r="AN42" s="63"/>
      <c r="AO42" s="63"/>
      <c r="AP42" s="63"/>
      <c r="AQ42" s="63" t="s">
        <v>306</v>
      </c>
      <c r="AW42" s="42">
        <v>14</v>
      </c>
    </row>
    <row r="43" ht="14.7" customHeight="1" spans="18:49">
      <c r="R43" s="50"/>
      <c r="S43" s="50"/>
      <c r="T43" s="50"/>
      <c r="U43" s="64" t="s">
        <v>89</v>
      </c>
      <c r="V43" s="65" t="s">
        <v>431</v>
      </c>
      <c r="W43" s="66"/>
      <c r="X43" s="67" t="s">
        <v>432</v>
      </c>
      <c r="Y43" s="1085"/>
      <c r="Z43" s="1085"/>
      <c r="AA43" s="1085"/>
      <c r="AB43" s="1085"/>
      <c r="AC43" s="68"/>
      <c r="AD43" s="68"/>
      <c r="AE43" s="122"/>
      <c r="AF43" s="123" t="s">
        <v>433</v>
      </c>
      <c r="AG43" s="67" t="s">
        <v>432</v>
      </c>
      <c r="AH43" s="1085"/>
      <c r="AI43" s="1085"/>
      <c r="AJ43" s="1085"/>
      <c r="AK43" s="1085"/>
      <c r="AL43" s="68"/>
      <c r="AM43" s="68"/>
      <c r="AN43" s="122"/>
      <c r="AO43" s="123" t="s">
        <v>434</v>
      </c>
      <c r="AP43" s="124" t="s">
        <v>435</v>
      </c>
      <c r="AQ43" s="63"/>
      <c r="AW43" s="42">
        <v>14</v>
      </c>
    </row>
    <row r="44" ht="35.7" customHeight="1" spans="18:49">
      <c r="R44" s="50"/>
      <c r="S44" s="50"/>
      <c r="T44" s="50"/>
      <c r="U44" s="64"/>
      <c r="V44" s="65"/>
      <c r="W44" s="69"/>
      <c r="X44" s="892" t="s">
        <v>457</v>
      </c>
      <c r="Y44" s="63" t="s">
        <v>458</v>
      </c>
      <c r="Z44" s="63"/>
      <c r="AA44" s="63"/>
      <c r="AB44" s="63"/>
      <c r="AC44" s="892" t="s">
        <v>439</v>
      </c>
      <c r="AD44" s="1086"/>
      <c r="AE44" s="893"/>
      <c r="AF44" s="128"/>
      <c r="AG44" s="892" t="s">
        <v>457</v>
      </c>
      <c r="AH44" s="63" t="s">
        <v>458</v>
      </c>
      <c r="AI44" s="63"/>
      <c r="AJ44" s="63"/>
      <c r="AK44" s="63"/>
      <c r="AL44" s="892" t="s">
        <v>439</v>
      </c>
      <c r="AM44" s="1086"/>
      <c r="AN44" s="893"/>
      <c r="AO44" s="128"/>
      <c r="AP44" s="129"/>
      <c r="AQ44" s="63"/>
      <c r="AW44" s="42">
        <v>34</v>
      </c>
    </row>
    <row r="45" ht="14.7" customHeight="1" spans="18:49">
      <c r="R45" s="50"/>
      <c r="S45" s="50"/>
      <c r="T45" s="50"/>
      <c r="U45" s="64"/>
      <c r="V45" s="65"/>
      <c r="W45" s="69"/>
      <c r="X45" s="894"/>
      <c r="Y45" s="466" t="s">
        <v>459</v>
      </c>
      <c r="Z45" s="131" t="s">
        <v>460</v>
      </c>
      <c r="AA45" s="1142"/>
      <c r="AB45" s="132"/>
      <c r="AC45" s="896"/>
      <c r="AD45" s="1089"/>
      <c r="AE45" s="897"/>
      <c r="AF45" s="128"/>
      <c r="AG45" s="894"/>
      <c r="AH45" s="466" t="s">
        <v>459</v>
      </c>
      <c r="AI45" s="131" t="s">
        <v>460</v>
      </c>
      <c r="AJ45" s="1142"/>
      <c r="AK45" s="132"/>
      <c r="AL45" s="896"/>
      <c r="AM45" s="1089"/>
      <c r="AN45" s="897"/>
      <c r="AO45" s="128"/>
      <c r="AP45" s="129"/>
      <c r="AQ45" s="63"/>
      <c r="AW45" s="42">
        <v>14</v>
      </c>
    </row>
    <row r="46" ht="27.3" customHeight="1" spans="18:49">
      <c r="R46" s="50"/>
      <c r="S46" s="50"/>
      <c r="T46" s="50"/>
      <c r="U46" s="64"/>
      <c r="V46" s="65"/>
      <c r="W46" s="69"/>
      <c r="X46" s="894"/>
      <c r="Y46" s="800"/>
      <c r="Z46" s="466" t="s">
        <v>461</v>
      </c>
      <c r="AA46" s="131" t="s">
        <v>462</v>
      </c>
      <c r="AB46" s="132"/>
      <c r="AC46" s="466" t="s">
        <v>449</v>
      </c>
      <c r="AD46" s="1160" t="s">
        <v>450</v>
      </c>
      <c r="AE46" s="1161"/>
      <c r="AF46" s="128"/>
      <c r="AG46" s="894"/>
      <c r="AH46" s="800"/>
      <c r="AI46" s="466" t="s">
        <v>461</v>
      </c>
      <c r="AJ46" s="131" t="s">
        <v>462</v>
      </c>
      <c r="AK46" s="132"/>
      <c r="AL46" s="466" t="s">
        <v>449</v>
      </c>
      <c r="AM46" s="1160" t="s">
        <v>450</v>
      </c>
      <c r="AN46" s="1161"/>
      <c r="AO46" s="128"/>
      <c r="AP46" s="129"/>
      <c r="AQ46" s="63"/>
      <c r="AW46" s="42">
        <v>26</v>
      </c>
    </row>
    <row r="47" ht="65.25" customHeight="1" spans="1:49">
      <c r="A47" s="500"/>
      <c r="B47" s="500" t="s">
        <v>137</v>
      </c>
      <c r="C47" s="500" t="s">
        <v>138</v>
      </c>
      <c r="D47" s="500" t="s">
        <v>139</v>
      </c>
      <c r="E47" s="533" t="s">
        <v>440</v>
      </c>
      <c r="F47" s="533" t="s">
        <v>441</v>
      </c>
      <c r="G47" s="533" t="s">
        <v>442</v>
      </c>
      <c r="H47" s="533" t="s">
        <v>443</v>
      </c>
      <c r="I47" s="533" t="s">
        <v>444</v>
      </c>
      <c r="J47" s="533" t="s">
        <v>445</v>
      </c>
      <c r="K47" s="533" t="s">
        <v>446</v>
      </c>
      <c r="L47" s="533" t="s">
        <v>463</v>
      </c>
      <c r="M47" s="533" t="s">
        <v>421</v>
      </c>
      <c r="R47" s="50"/>
      <c r="S47" s="50"/>
      <c r="T47" s="50"/>
      <c r="U47" s="64"/>
      <c r="V47" s="65"/>
      <c r="W47" s="71"/>
      <c r="X47" s="896"/>
      <c r="Y47" s="293"/>
      <c r="Z47" s="293"/>
      <c r="AA47" s="130" t="s">
        <v>464</v>
      </c>
      <c r="AB47" s="130" t="s">
        <v>465</v>
      </c>
      <c r="AC47" s="293"/>
      <c r="AD47" s="1162"/>
      <c r="AE47" s="1163"/>
      <c r="AF47" s="133"/>
      <c r="AG47" s="896"/>
      <c r="AH47" s="293"/>
      <c r="AI47" s="293"/>
      <c r="AJ47" s="130" t="s">
        <v>464</v>
      </c>
      <c r="AK47" s="130" t="s">
        <v>465</v>
      </c>
      <c r="AL47" s="293"/>
      <c r="AM47" s="1162"/>
      <c r="AN47" s="1163"/>
      <c r="AO47" s="133"/>
      <c r="AP47" s="134"/>
      <c r="AQ47" s="63"/>
      <c r="AW47" s="42">
        <v>62</v>
      </c>
    </row>
    <row r="48" s="36" customFormat="1" ht="11.25" hidden="1" customHeight="1" spans="1:49">
      <c r="A48" s="500"/>
      <c r="B48" s="500"/>
      <c r="C48" s="500"/>
      <c r="D48" s="500"/>
      <c r="E48" s="500"/>
      <c r="F48" s="500"/>
      <c r="G48" s="500"/>
      <c r="H48" s="500"/>
      <c r="I48" s="500"/>
      <c r="J48" s="500"/>
      <c r="K48" s="500"/>
      <c r="L48" s="500"/>
      <c r="M48" s="533"/>
      <c r="N48" s="39"/>
      <c r="O48" s="39"/>
      <c r="P48" s="39"/>
      <c r="Q48" s="73"/>
      <c r="R48" s="74"/>
      <c r="S48" s="75">
        <v>1</v>
      </c>
      <c r="T48" s="75"/>
      <c r="U48" s="76" t="s">
        <v>111</v>
      </c>
      <c r="V48" s="77" t="s">
        <v>112</v>
      </c>
      <c r="W48" s="78" t="str">
        <f ca="1">OFFSET(W48,0,-1)</f>
        <v>2</v>
      </c>
      <c r="X48" s="79">
        <f ca="1">OFFSET(X48,0,-1)+1</f>
        <v>3</v>
      </c>
      <c r="Y48" s="1128"/>
      <c r="Z48" s="1128"/>
      <c r="AA48" s="1128">
        <f ca="1">OFFSET(AA48,0,-1)+1</f>
        <v>1</v>
      </c>
      <c r="AB48" s="1128">
        <f ca="1">OFFSET(AB48,0,-1)+1</f>
        <v>2</v>
      </c>
      <c r="AC48" s="79">
        <f ca="1">OFFSET(AC48,0,-1)+1</f>
        <v>3</v>
      </c>
      <c r="AD48" s="79">
        <f ca="1">OFFSET(AD48,0,-1)+1</f>
        <v>4</v>
      </c>
      <c r="AE48" s="79"/>
      <c r="AF48" s="79">
        <f ca="1">OFFSET(AF48,0,-2)+1</f>
        <v>5</v>
      </c>
      <c r="AG48" s="79">
        <f ca="1">OFFSET(AG48,0,-1)+1</f>
        <v>6</v>
      </c>
      <c r="AH48" s="79"/>
      <c r="AI48" s="79"/>
      <c r="AJ48" s="79">
        <f ca="1">OFFSET(AJ48,0,-1)+1</f>
        <v>1</v>
      </c>
      <c r="AK48" s="79">
        <f ca="1">OFFSET(AK48,0,-1)+1</f>
        <v>2</v>
      </c>
      <c r="AL48" s="79">
        <f ca="1">OFFSET(AL48,0,-1)+1</f>
        <v>3</v>
      </c>
      <c r="AM48" s="79">
        <f ca="1">OFFSET(AM48,0,-1)+1</f>
        <v>4</v>
      </c>
      <c r="AN48" s="79"/>
      <c r="AO48" s="79">
        <f ca="1">OFFSET(AO48,0,-2)+1</f>
        <v>5</v>
      </c>
      <c r="AP48" s="78">
        <f ca="1">OFFSET(AP48,0,-1)</f>
        <v>5</v>
      </c>
      <c r="AQ48" s="79">
        <f ca="1">OFFSET(AQ48,0,-1)+1</f>
        <v>6</v>
      </c>
      <c r="AR48" s="43"/>
      <c r="AS48" s="43"/>
      <c r="AT48" s="43"/>
      <c r="AU48" s="43"/>
      <c r="AV48" s="43"/>
      <c r="AW48" s="36">
        <v>0</v>
      </c>
    </row>
    <row r="49" ht="22.05" customHeight="1" spans="1:49">
      <c r="A49" s="499" t="s">
        <v>176</v>
      </c>
      <c r="B49" s="499"/>
      <c r="C49" s="499"/>
      <c r="D49" s="499"/>
      <c r="E49" s="1129">
        <v>1</v>
      </c>
      <c r="F49" s="499"/>
      <c r="G49" s="499"/>
      <c r="H49" s="499"/>
      <c r="I49" s="499"/>
      <c r="J49" s="499"/>
      <c r="K49" s="499"/>
      <c r="L49" s="499"/>
      <c r="M49" s="533"/>
      <c r="N49" s="41"/>
      <c r="O49" s="41"/>
      <c r="P49" s="41"/>
      <c r="R49" s="80"/>
      <c r="S49" s="80"/>
      <c r="T49" s="81"/>
      <c r="U49" s="64">
        <f>INDEX(PT_DIFFERENTIATION_NUM_NTAR,MATCH(A49,PT_DIFFERENTIATION_NTAR_ID,0))</f>
        <v>0</v>
      </c>
      <c r="V49" s="82" t="s">
        <v>125</v>
      </c>
      <c r="W49" s="83"/>
      <c r="X49" s="1076"/>
      <c r="Y49" s="1047"/>
      <c r="Z49" s="1047"/>
      <c r="AA49" s="1047"/>
      <c r="AB49" s="1047"/>
      <c r="AC49" s="1047"/>
      <c r="AD49" s="1047"/>
      <c r="AE49" s="1047"/>
      <c r="AF49" s="1075"/>
      <c r="AG49" s="1076" t="str">
        <f>INDEX(PT_DIFFERENTIATION_NTAR,MATCH(A49,PT_DIFFERENTIATION_NTAR_ID,0))</f>
        <v/>
      </c>
      <c r="AH49" s="1047"/>
      <c r="AI49" s="1047"/>
      <c r="AJ49" s="1047"/>
      <c r="AK49" s="1047"/>
      <c r="AL49" s="1047"/>
      <c r="AM49" s="1047"/>
      <c r="AN49" s="1047"/>
      <c r="AO49" s="1047"/>
      <c r="AP49" s="1075"/>
      <c r="AQ49" s="13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150"/>
      <c r="AT49" s="150" t="str">
        <f t="shared" ref="AT49:AT65" si="2">IF(V49="","",V49)</f>
        <v>Наименование тарифа</v>
      </c>
      <c r="AU49" s="150"/>
      <c r="AV49" s="150"/>
      <c r="AW49" s="42">
        <v>21</v>
      </c>
    </row>
    <row r="50" ht="22.05" customHeight="1" spans="1:49">
      <c r="A50" s="499" t="s">
        <v>176</v>
      </c>
      <c r="B50" s="499" t="s">
        <v>177</v>
      </c>
      <c r="C50" s="499"/>
      <c r="D50" s="499"/>
      <c r="E50" s="1130"/>
      <c r="F50" s="1129">
        <v>1</v>
      </c>
      <c r="G50" s="499"/>
      <c r="H50" s="499"/>
      <c r="I50" s="499"/>
      <c r="J50" s="499"/>
      <c r="K50" s="499"/>
      <c r="L50" s="499"/>
      <c r="M50" s="533"/>
      <c r="N50" s="41"/>
      <c r="O50" s="41"/>
      <c r="P50" s="41"/>
      <c r="Q50" s="85"/>
      <c r="R50" s="86"/>
      <c r="S50" s="42"/>
      <c r="T50" s="87"/>
      <c r="U50" s="64" t="str">
        <f>INDEX(PT_DIFFERENTIATION_NUM_TER,MATCH(B50,PT_DIFFERENTIATION_TER_ID,0))</f>
        <v>.</v>
      </c>
      <c r="V50" s="88" t="s">
        <v>402</v>
      </c>
      <c r="W50" s="83"/>
      <c r="X50" s="1076"/>
      <c r="Y50" s="1047"/>
      <c r="Z50" s="1047"/>
      <c r="AA50" s="1047"/>
      <c r="AB50" s="1047"/>
      <c r="AC50" s="1047"/>
      <c r="AD50" s="1047"/>
      <c r="AE50" s="1047"/>
      <c r="AF50" s="1075"/>
      <c r="AG50" s="1076" t="str">
        <f>INDEX(PT_DIFFERENTIATION_TER,MATCH(B50,PT_DIFFERENTIATION_TER_ID,0))</f>
        <v/>
      </c>
      <c r="AH50" s="1047"/>
      <c r="AI50" s="1047"/>
      <c r="AJ50" s="1047"/>
      <c r="AK50" s="1047"/>
      <c r="AL50" s="1047"/>
      <c r="AM50" s="1047"/>
      <c r="AN50" s="1047"/>
      <c r="AO50" s="1047"/>
      <c r="AP50" s="1075"/>
      <c r="AQ50" s="135" t="s">
        <v>403</v>
      </c>
      <c r="AS50" s="150"/>
      <c r="AT50" s="150" t="str">
        <f t="shared" si="2"/>
        <v>Территория действия тарифа</v>
      </c>
      <c r="AU50" s="150"/>
      <c r="AV50" s="150"/>
      <c r="AW50" s="42">
        <v>21</v>
      </c>
    </row>
    <row r="51" ht="24" customHeight="1" spans="1:49">
      <c r="A51" s="499" t="s">
        <v>176</v>
      </c>
      <c r="B51" s="499" t="s">
        <v>177</v>
      </c>
      <c r="C51" s="499" t="s">
        <v>178</v>
      </c>
      <c r="D51" s="499"/>
      <c r="E51" s="1130"/>
      <c r="F51" s="1130"/>
      <c r="G51" s="1129">
        <v>1</v>
      </c>
      <c r="H51" s="499"/>
      <c r="I51" s="499"/>
      <c r="J51" s="499"/>
      <c r="K51" s="499"/>
      <c r="L51" s="499"/>
      <c r="M51" s="533"/>
      <c r="N51" s="41"/>
      <c r="O51" s="41"/>
      <c r="P51" s="41"/>
      <c r="Q51" s="89"/>
      <c r="R51" s="86"/>
      <c r="S51" s="42"/>
      <c r="T51" s="87"/>
      <c r="U51" s="64" t="str">
        <f>INDEX(PT_DIFFERENTIATION_NUM_CS,MATCH(C51,PT_DIFFERENTIATION_CS_ID,0))</f>
        <v>..</v>
      </c>
      <c r="V51" s="90" t="s">
        <v>404</v>
      </c>
      <c r="W51" s="83"/>
      <c r="X51" s="1076"/>
      <c r="Y51" s="1047"/>
      <c r="Z51" s="1047"/>
      <c r="AA51" s="1047"/>
      <c r="AB51" s="1047"/>
      <c r="AC51" s="1047"/>
      <c r="AD51" s="1047"/>
      <c r="AE51" s="1047"/>
      <c r="AF51" s="1075"/>
      <c r="AG51" s="1076" t="str">
        <f>INDEX(PT_DIFFERENTIATION_CS,MATCH(C51,PT_DIFFERENTIATION_CS_ID,0))</f>
        <v/>
      </c>
      <c r="AH51" s="1047"/>
      <c r="AI51" s="1047"/>
      <c r="AJ51" s="1047"/>
      <c r="AK51" s="1047"/>
      <c r="AL51" s="1047"/>
      <c r="AM51" s="1047"/>
      <c r="AN51" s="1047"/>
      <c r="AO51" s="1047"/>
      <c r="AP51" s="1075"/>
      <c r="AQ51" s="135" t="s">
        <v>405</v>
      </c>
      <c r="AS51" s="150"/>
      <c r="AT51" s="150" t="str">
        <f t="shared" si="2"/>
        <v>Наименование системы теплоснабжения </v>
      </c>
      <c r="AU51" s="150"/>
      <c r="AV51" s="150"/>
      <c r="AW51" s="42">
        <v>23</v>
      </c>
    </row>
    <row r="52" ht="22.05" customHeight="1" spans="1:49">
      <c r="A52" s="499" t="s">
        <v>176</v>
      </c>
      <c r="B52" s="499" t="s">
        <v>177</v>
      </c>
      <c r="C52" s="499" t="s">
        <v>178</v>
      </c>
      <c r="D52" s="499" t="s">
        <v>179</v>
      </c>
      <c r="E52" s="1130"/>
      <c r="F52" s="1130"/>
      <c r="G52" s="1130"/>
      <c r="H52" s="1129">
        <v>1</v>
      </c>
      <c r="I52" s="499"/>
      <c r="J52" s="499"/>
      <c r="K52" s="499"/>
      <c r="L52" s="499"/>
      <c r="M52" s="533"/>
      <c r="N52" s="41"/>
      <c r="O52" s="41"/>
      <c r="P52" s="41"/>
      <c r="Q52" s="89"/>
      <c r="R52" s="86"/>
      <c r="S52" s="42"/>
      <c r="T52" s="87"/>
      <c r="U52" s="64" t="str">
        <f>INDEX(PT_DIFFERENTIATION_NUM_IST_TE,MATCH(D52,PT_DIFFERENTIATION_IST_TE_ID,0))</f>
        <v>...</v>
      </c>
      <c r="V52" s="91" t="s">
        <v>406</v>
      </c>
      <c r="W52" s="83"/>
      <c r="X52" s="1076"/>
      <c r="Y52" s="1047"/>
      <c r="Z52" s="1047"/>
      <c r="AA52" s="1047"/>
      <c r="AB52" s="1047"/>
      <c r="AC52" s="1047"/>
      <c r="AD52" s="1047"/>
      <c r="AE52" s="1047"/>
      <c r="AF52" s="1075"/>
      <c r="AG52" s="1076" t="str">
        <f>INDEX(PT_DIFFERENTIATION_IST_TE,MATCH(D52,PT_DIFFERENTIATION_IST_TE_ID,0))</f>
        <v/>
      </c>
      <c r="AH52" s="1047"/>
      <c r="AI52" s="1047"/>
      <c r="AJ52" s="1047"/>
      <c r="AK52" s="1047"/>
      <c r="AL52" s="1047"/>
      <c r="AM52" s="1047"/>
      <c r="AN52" s="1047"/>
      <c r="AO52" s="1047"/>
      <c r="AP52" s="1075"/>
      <c r="AQ52" s="135" t="s">
        <v>407</v>
      </c>
      <c r="AS52" s="150"/>
      <c r="AT52" s="150" t="str">
        <f t="shared" si="2"/>
        <v>Источник тепловой энергии  </v>
      </c>
      <c r="AU52" s="150"/>
      <c r="AV52" s="150"/>
      <c r="AW52" s="42">
        <v>21</v>
      </c>
    </row>
    <row r="53" s="43" customFormat="1" hidden="1" customHeight="1" spans="1:49">
      <c r="A53" s="1131" t="s">
        <v>176</v>
      </c>
      <c r="B53" s="1131" t="s">
        <v>177</v>
      </c>
      <c r="C53" s="1131" t="s">
        <v>178</v>
      </c>
      <c r="D53" s="1131" t="s">
        <v>179</v>
      </c>
      <c r="E53" s="1130"/>
      <c r="F53" s="1130"/>
      <c r="G53" s="1130"/>
      <c r="H53" s="1130"/>
      <c r="I53" s="63" t="str">
        <f>U52&amp;".1"</f>
        <v>....1</v>
      </c>
      <c r="J53" s="1131"/>
      <c r="K53" s="1131"/>
      <c r="L53" s="1131"/>
      <c r="M53" s="1133" t="s">
        <v>408</v>
      </c>
      <c r="N53" s="73"/>
      <c r="O53" s="73"/>
      <c r="P53" s="73"/>
      <c r="Q53" s="92">
        <v>1</v>
      </c>
      <c r="R53" s="92"/>
      <c r="S53" s="92"/>
      <c r="T53" s="93"/>
      <c r="U53" s="329"/>
      <c r="V53" s="1053"/>
      <c r="W53" s="1051"/>
      <c r="X53" s="1078"/>
      <c r="Y53" s="1052"/>
      <c r="Z53" s="1052"/>
      <c r="AA53" s="1052"/>
      <c r="AB53" s="1052"/>
      <c r="AC53" s="1052"/>
      <c r="AD53" s="1052"/>
      <c r="AE53" s="1052"/>
      <c r="AF53" s="1077"/>
      <c r="AG53" s="1078"/>
      <c r="AH53" s="1052"/>
      <c r="AI53" s="1052"/>
      <c r="AJ53" s="1052"/>
      <c r="AK53" s="1052"/>
      <c r="AL53" s="1052"/>
      <c r="AM53" s="1052"/>
      <c r="AN53" s="1052"/>
      <c r="AO53" s="1052"/>
      <c r="AP53" s="1077"/>
      <c r="AQ53" s="981"/>
      <c r="AS53" s="150"/>
      <c r="AT53" s="150" t="str">
        <f t="shared" si="2"/>
        <v/>
      </c>
      <c r="AU53" s="150"/>
      <c r="AV53" s="150"/>
      <c r="AW53" s="43">
        <v>0</v>
      </c>
    </row>
    <row r="54" ht="22.05" customHeight="1" spans="1:49">
      <c r="A54" s="499" t="s">
        <v>176</v>
      </c>
      <c r="B54" s="499" t="s">
        <v>177</v>
      </c>
      <c r="C54" s="499" t="s">
        <v>178</v>
      </c>
      <c r="D54" s="499" t="s">
        <v>179</v>
      </c>
      <c r="E54" s="1130"/>
      <c r="F54" s="1130"/>
      <c r="G54" s="1130"/>
      <c r="H54" s="1130"/>
      <c r="I54" s="125"/>
      <c r="J54" s="63" t="str">
        <f>I53&amp;".1"</f>
        <v>....1.1</v>
      </c>
      <c r="K54" s="499"/>
      <c r="L54" s="499"/>
      <c r="M54" s="533" t="s">
        <v>411</v>
      </c>
      <c r="Q54" s="92"/>
      <c r="R54" s="92">
        <v>1</v>
      </c>
      <c r="S54" s="43"/>
      <c r="T54" s="96"/>
      <c r="U54" s="64" t="str">
        <f>$J54</f>
        <v>....1.1</v>
      </c>
      <c r="V54" s="97" t="s">
        <v>412</v>
      </c>
      <c r="W54" s="83"/>
      <c r="X54" s="98"/>
      <c r="Y54" s="99"/>
      <c r="Z54" s="99"/>
      <c r="AA54" s="99"/>
      <c r="AB54" s="99"/>
      <c r="AC54" s="1155"/>
      <c r="AD54" s="1155"/>
      <c r="AE54" s="1155"/>
      <c r="AF54" s="1156"/>
      <c r="AG54" s="98"/>
      <c r="AH54" s="99"/>
      <c r="AI54" s="99"/>
      <c r="AJ54" s="99"/>
      <c r="AK54" s="99"/>
      <c r="AL54" s="99"/>
      <c r="AM54" s="99"/>
      <c r="AN54" s="99"/>
      <c r="AO54" s="99"/>
      <c r="AP54" s="136"/>
      <c r="AQ54" s="135" t="s">
        <v>413</v>
      </c>
      <c r="AS54" s="150"/>
      <c r="AT54" s="150" t="str">
        <f t="shared" si="2"/>
        <v>Группа потребителей</v>
      </c>
      <c r="AU54" s="150"/>
      <c r="AV54" s="150"/>
      <c r="AW54" s="42">
        <v>21</v>
      </c>
    </row>
    <row r="55" ht="22.05" customHeight="1" spans="1:49">
      <c r="A55" s="499" t="s">
        <v>176</v>
      </c>
      <c r="B55" s="499" t="s">
        <v>177</v>
      </c>
      <c r="C55" s="499" t="s">
        <v>178</v>
      </c>
      <c r="D55" s="499" t="s">
        <v>179</v>
      </c>
      <c r="E55" s="1130"/>
      <c r="F55" s="1130"/>
      <c r="G55" s="1130"/>
      <c r="H55" s="1130"/>
      <c r="I55" s="125"/>
      <c r="J55" s="125"/>
      <c r="K55" s="63" t="str">
        <f>J54&amp;".1"</f>
        <v>....1.1.1</v>
      </c>
      <c r="L55" s="85"/>
      <c r="M55" s="533" t="s">
        <v>414</v>
      </c>
      <c r="Q55" s="92"/>
      <c r="R55" s="92"/>
      <c r="S55" s="43">
        <v>1</v>
      </c>
      <c r="T55" s="96"/>
      <c r="U55" s="64" t="str">
        <f>$K55</f>
        <v>....1.1.1</v>
      </c>
      <c r="V55" s="100"/>
      <c r="W55" s="83"/>
      <c r="X55" s="101"/>
      <c r="Y55" s="101"/>
      <c r="Z55" s="101"/>
      <c r="AA55" s="101"/>
      <c r="AB55" s="1157"/>
      <c r="AC55" s="138"/>
      <c r="AD55" s="139" t="s">
        <v>62</v>
      </c>
      <c r="AE55" s="138"/>
      <c r="AF55" s="139" t="s">
        <v>62</v>
      </c>
      <c r="AG55" s="1164"/>
      <c r="AH55" s="101"/>
      <c r="AI55" s="101"/>
      <c r="AJ55" s="101"/>
      <c r="AK55" s="137"/>
      <c r="AL55" s="138"/>
      <c r="AM55" s="139" t="s">
        <v>62</v>
      </c>
      <c r="AN55" s="138"/>
      <c r="AO55" s="139" t="s">
        <v>62</v>
      </c>
      <c r="AP55" s="1106"/>
      <c r="AQ55" s="1122" t="s">
        <v>454</v>
      </c>
      <c r="AR55" s="43" t="e">
        <f>STRCHECKDATE(X57:AP57)</f>
        <v>#NAME?</v>
      </c>
      <c r="AS55" s="150"/>
      <c r="AT55" s="150" t="str">
        <f t="shared" si="2"/>
        <v/>
      </c>
      <c r="AU55" s="150"/>
      <c r="AV55" s="150"/>
      <c r="AW55" s="42">
        <v>21</v>
      </c>
    </row>
    <row r="56" ht="11.55" customHeight="1" spans="1:49">
      <c r="A56" s="499" t="s">
        <v>176</v>
      </c>
      <c r="B56" s="499" t="s">
        <v>177</v>
      </c>
      <c r="C56" s="499" t="s">
        <v>178</v>
      </c>
      <c r="D56" s="499" t="s">
        <v>179</v>
      </c>
      <c r="E56" s="1130"/>
      <c r="F56" s="1130"/>
      <c r="G56" s="1130"/>
      <c r="H56" s="1130"/>
      <c r="I56" s="125"/>
      <c r="J56" s="125"/>
      <c r="K56" s="125"/>
      <c r="L56" s="63" t="str">
        <f>K55&amp;".1"</f>
        <v>....1.1.1.1</v>
      </c>
      <c r="M56" s="533"/>
      <c r="Q56" s="92"/>
      <c r="R56" s="92"/>
      <c r="S56" s="43">
        <v>1</v>
      </c>
      <c r="T56" s="96"/>
      <c r="U56" s="64" t="str">
        <f>$L56</f>
        <v>....1.1.1.1</v>
      </c>
      <c r="V56" s="1149"/>
      <c r="W56" s="83"/>
      <c r="X56" s="102"/>
      <c r="Y56" s="101"/>
      <c r="Z56" s="101"/>
      <c r="AA56" s="101"/>
      <c r="AB56" s="1157"/>
      <c r="AC56" s="142"/>
      <c r="AD56" s="139"/>
      <c r="AE56" s="142"/>
      <c r="AF56" s="139"/>
      <c r="AG56" s="1164"/>
      <c r="AH56" s="101"/>
      <c r="AI56" s="101"/>
      <c r="AJ56" s="101"/>
      <c r="AK56" s="137"/>
      <c r="AL56" s="142"/>
      <c r="AM56" s="139"/>
      <c r="AN56" s="142"/>
      <c r="AO56" s="139"/>
      <c r="AP56" s="1106"/>
      <c r="AQ56" s="140" t="s">
        <v>455</v>
      </c>
      <c r="AR56" s="43" t="e">
        <f>STRCHECKDATE(X58:AP58)</f>
        <v>#NAME?</v>
      </c>
      <c r="AS56" s="150"/>
      <c r="AT56" s="150" t="str">
        <f t="shared" si="2"/>
        <v/>
      </c>
      <c r="AU56" s="150"/>
      <c r="AV56" s="150"/>
      <c r="AW56" s="42">
        <v>11</v>
      </c>
    </row>
    <row r="57" hidden="1" customHeight="1" spans="1:49">
      <c r="A57" s="499" t="s">
        <v>176</v>
      </c>
      <c r="B57" s="499" t="s">
        <v>177</v>
      </c>
      <c r="C57" s="499" t="s">
        <v>178</v>
      </c>
      <c r="D57" s="499" t="s">
        <v>179</v>
      </c>
      <c r="E57" s="1130"/>
      <c r="F57" s="1130"/>
      <c r="G57" s="1130"/>
      <c r="H57" s="1130"/>
      <c r="I57" s="125"/>
      <c r="J57" s="125"/>
      <c r="K57" s="125"/>
      <c r="L57" s="63"/>
      <c r="M57" s="533"/>
      <c r="Q57" s="92"/>
      <c r="R57" s="92"/>
      <c r="S57" s="43"/>
      <c r="T57" s="96"/>
      <c r="U57" s="103"/>
      <c r="V57" s="83"/>
      <c r="W57" s="83"/>
      <c r="X57" s="102"/>
      <c r="Y57" s="102"/>
      <c r="Z57" s="102"/>
      <c r="AA57" s="102"/>
      <c r="AB57" s="1158" t="str">
        <f>AC55&amp;"-"&amp;AE55</f>
        <v>-</v>
      </c>
      <c r="AC57" s="142"/>
      <c r="AD57" s="139"/>
      <c r="AE57" s="142"/>
      <c r="AF57" s="139"/>
      <c r="AG57" s="1165"/>
      <c r="AH57" s="102"/>
      <c r="AI57" s="102"/>
      <c r="AJ57" s="102"/>
      <c r="AK57" s="141" t="str">
        <f>AL55&amp;"-"&amp;AN55</f>
        <v>-</v>
      </c>
      <c r="AL57" s="142"/>
      <c r="AM57" s="139"/>
      <c r="AN57" s="142"/>
      <c r="AO57" s="139"/>
      <c r="AP57" s="1148"/>
      <c r="AQ57" s="143"/>
      <c r="AS57" s="150"/>
      <c r="AT57" s="150" t="str">
        <f t="shared" si="2"/>
        <v/>
      </c>
      <c r="AU57" s="150"/>
      <c r="AV57" s="150"/>
      <c r="AW57" s="42">
        <v>0</v>
      </c>
    </row>
    <row r="58" ht="11.55" customHeight="1" spans="1:49">
      <c r="A58" s="499" t="s">
        <v>176</v>
      </c>
      <c r="B58" s="499" t="s">
        <v>177</v>
      </c>
      <c r="C58" s="499" t="s">
        <v>178</v>
      </c>
      <c r="D58" s="499" t="s">
        <v>179</v>
      </c>
      <c r="E58" s="1130"/>
      <c r="F58" s="1130"/>
      <c r="G58" s="1130"/>
      <c r="H58" s="1130"/>
      <c r="I58" s="125"/>
      <c r="J58" s="125"/>
      <c r="K58" s="63"/>
      <c r="L58" s="499"/>
      <c r="M58" s="533"/>
      <c r="Q58" s="92"/>
      <c r="R58" s="92"/>
      <c r="S58" s="92"/>
      <c r="T58" s="93"/>
      <c r="U58" s="104"/>
      <c r="V58" s="105" t="s">
        <v>456</v>
      </c>
      <c r="W58" s="106"/>
      <c r="X58" s="106"/>
      <c r="Y58" s="106"/>
      <c r="Z58" s="106"/>
      <c r="AA58" s="106"/>
      <c r="AB58" s="106"/>
      <c r="AC58" s="142"/>
      <c r="AD58" s="139"/>
      <c r="AE58" s="142"/>
      <c r="AF58" s="139"/>
      <c r="AG58" s="106"/>
      <c r="AH58" s="106"/>
      <c r="AI58" s="106"/>
      <c r="AJ58" s="106"/>
      <c r="AK58" s="106"/>
      <c r="AL58" s="142"/>
      <c r="AM58" s="139"/>
      <c r="AN58" s="142"/>
      <c r="AO58" s="139"/>
      <c r="AP58" s="144"/>
      <c r="AQ58" s="143"/>
      <c r="AS58" s="150"/>
      <c r="AT58" s="150" t="str">
        <f t="shared" si="2"/>
        <v>Добавить наименование поставщика</v>
      </c>
      <c r="AU58" s="150"/>
      <c r="AV58" s="150"/>
      <c r="AW58" s="42">
        <v>11</v>
      </c>
    </row>
    <row r="59" ht="11.55" customHeight="1" spans="1:49">
      <c r="A59" s="499" t="s">
        <v>176</v>
      </c>
      <c r="B59" s="499" t="s">
        <v>177</v>
      </c>
      <c r="C59" s="499" t="s">
        <v>178</v>
      </c>
      <c r="D59" s="499" t="s">
        <v>179</v>
      </c>
      <c r="E59" s="1130"/>
      <c r="F59" s="1130"/>
      <c r="G59" s="1130"/>
      <c r="H59" s="1130"/>
      <c r="I59" s="125"/>
      <c r="J59" s="63"/>
      <c r="K59" s="499"/>
      <c r="L59" s="499"/>
      <c r="M59" s="533"/>
      <c r="Q59" s="92"/>
      <c r="R59" s="92"/>
      <c r="S59" s="92"/>
      <c r="T59" s="93"/>
      <c r="U59" s="104"/>
      <c r="V59" s="107" t="s">
        <v>416</v>
      </c>
      <c r="W59" s="106"/>
      <c r="X59" s="106"/>
      <c r="Y59" s="106"/>
      <c r="Z59" s="106"/>
      <c r="AA59" s="106"/>
      <c r="AB59" s="106"/>
      <c r="AC59" s="1159"/>
      <c r="AD59" s="1159"/>
      <c r="AE59" s="1159"/>
      <c r="AF59" s="1159"/>
      <c r="AG59" s="106"/>
      <c r="AH59" s="106"/>
      <c r="AI59" s="106"/>
      <c r="AJ59" s="106"/>
      <c r="AK59" s="106"/>
      <c r="AL59" s="106"/>
      <c r="AM59" s="106"/>
      <c r="AN59" s="106"/>
      <c r="AO59" s="106"/>
      <c r="AP59" s="144"/>
      <c r="AQ59" s="145"/>
      <c r="AS59" s="150"/>
      <c r="AT59" s="150" t="str">
        <f t="shared" si="2"/>
        <v>Добавить вид теплоносителя (параметры теплоносителя)</v>
      </c>
      <c r="AU59" s="150"/>
      <c r="AV59" s="150"/>
      <c r="AW59" s="42">
        <v>11</v>
      </c>
    </row>
    <row r="60" ht="11.55" customHeight="1" spans="1:49">
      <c r="A60" s="499" t="s">
        <v>176</v>
      </c>
      <c r="B60" s="499" t="s">
        <v>177</v>
      </c>
      <c r="C60" s="499" t="s">
        <v>178</v>
      </c>
      <c r="D60" s="499" t="s">
        <v>179</v>
      </c>
      <c r="E60" s="1130"/>
      <c r="F60" s="1130"/>
      <c r="G60" s="1130"/>
      <c r="H60" s="1130"/>
      <c r="I60" s="63"/>
      <c r="J60" s="499"/>
      <c r="K60" s="499"/>
      <c r="L60" s="499"/>
      <c r="M60" s="533"/>
      <c r="Q60" s="92"/>
      <c r="R60" s="92"/>
      <c r="S60" s="92"/>
      <c r="T60" s="93"/>
      <c r="U60" s="104"/>
      <c r="V60" s="109" t="s">
        <v>417</v>
      </c>
      <c r="W60" s="106"/>
      <c r="X60" s="106"/>
      <c r="Y60" s="106"/>
      <c r="Z60" s="106"/>
      <c r="AA60" s="106"/>
      <c r="AB60" s="106"/>
      <c r="AC60" s="106"/>
      <c r="AD60" s="106"/>
      <c r="AE60" s="106"/>
      <c r="AF60" s="146"/>
      <c r="AG60" s="106"/>
      <c r="AH60" s="106"/>
      <c r="AI60" s="106"/>
      <c r="AJ60" s="106"/>
      <c r="AK60" s="106"/>
      <c r="AL60" s="106"/>
      <c r="AM60" s="106"/>
      <c r="AN60" s="106"/>
      <c r="AO60" s="146"/>
      <c r="AP60" s="106"/>
      <c r="AQ60" s="147"/>
      <c r="AS60" s="150"/>
      <c r="AT60" s="150" t="str">
        <f t="shared" si="2"/>
        <v>Добавить группу потребителей</v>
      </c>
      <c r="AU60" s="150"/>
      <c r="AV60" s="150"/>
      <c r="AW60" s="42">
        <v>11</v>
      </c>
    </row>
    <row r="61" hidden="1" customHeight="1" spans="1:49">
      <c r="A61" s="499" t="s">
        <v>176</v>
      </c>
      <c r="B61" s="499" t="s">
        <v>177</v>
      </c>
      <c r="C61" s="499" t="s">
        <v>178</v>
      </c>
      <c r="D61" s="499" t="s">
        <v>179</v>
      </c>
      <c r="E61" s="1130"/>
      <c r="F61" s="1130"/>
      <c r="G61" s="1130"/>
      <c r="H61" s="1129"/>
      <c r="I61" s="499"/>
      <c r="J61" s="499"/>
      <c r="K61" s="499"/>
      <c r="L61" s="499"/>
      <c r="M61" s="533"/>
      <c r="N61" s="41"/>
      <c r="O61" s="41"/>
      <c r="P61" s="42"/>
      <c r="Q61" s="80"/>
      <c r="R61" s="108"/>
      <c r="S61" s="81"/>
      <c r="T61" s="80"/>
      <c r="U61" s="1065"/>
      <c r="V61" s="1066"/>
      <c r="W61" s="1067"/>
      <c r="X61" s="1067"/>
      <c r="Y61" s="1067"/>
      <c r="Z61" s="1067"/>
      <c r="AA61" s="1067"/>
      <c r="AB61" s="1067"/>
      <c r="AC61" s="1067"/>
      <c r="AD61" s="1067"/>
      <c r="AE61" s="1067"/>
      <c r="AF61" s="1067"/>
      <c r="AG61" s="1067"/>
      <c r="AH61" s="1067"/>
      <c r="AI61" s="1067"/>
      <c r="AJ61" s="1067"/>
      <c r="AK61" s="1067"/>
      <c r="AL61" s="1067"/>
      <c r="AM61" s="1067"/>
      <c r="AN61" s="1067"/>
      <c r="AO61" s="1067"/>
      <c r="AP61" s="1067"/>
      <c r="AQ61" s="1109"/>
      <c r="AS61" s="150"/>
      <c r="AT61" s="150" t="str">
        <f t="shared" si="2"/>
        <v/>
      </c>
      <c r="AU61" s="150"/>
      <c r="AV61" s="150"/>
      <c r="AW61" s="42">
        <v>0</v>
      </c>
    </row>
    <row r="62" s="43" customFormat="1" hidden="1" customHeight="1" spans="1:49">
      <c r="A62" s="1131" t="s">
        <v>176</v>
      </c>
      <c r="B62" s="1131" t="s">
        <v>177</v>
      </c>
      <c r="C62" s="1131" t="s">
        <v>178</v>
      </c>
      <c r="D62" s="1131"/>
      <c r="E62" s="1130"/>
      <c r="F62" s="1130"/>
      <c r="G62" s="1129"/>
      <c r="H62" s="1131"/>
      <c r="I62" s="1131"/>
      <c r="J62" s="1131"/>
      <c r="K62" s="1131"/>
      <c r="L62" s="1131"/>
      <c r="M62" s="1133"/>
      <c r="N62" s="1134"/>
      <c r="O62" s="1134"/>
      <c r="P62" s="36"/>
      <c r="Q62" s="151"/>
      <c r="R62" s="1068"/>
      <c r="S62" s="151"/>
      <c r="T62" s="151"/>
      <c r="U62" s="1070"/>
      <c r="V62" s="1071" t="s">
        <v>419</v>
      </c>
      <c r="W62" s="306"/>
      <c r="X62" s="306"/>
      <c r="Y62" s="306"/>
      <c r="Z62" s="306"/>
      <c r="AA62" s="306"/>
      <c r="AB62" s="306"/>
      <c r="AC62" s="306"/>
      <c r="AD62" s="306"/>
      <c r="AE62" s="306"/>
      <c r="AF62" s="306"/>
      <c r="AG62" s="306"/>
      <c r="AH62" s="306"/>
      <c r="AI62" s="306"/>
      <c r="AJ62" s="306"/>
      <c r="AK62" s="306"/>
      <c r="AL62" s="306"/>
      <c r="AM62" s="306"/>
      <c r="AN62" s="306"/>
      <c r="AO62" s="306"/>
      <c r="AP62" s="306"/>
      <c r="AQ62" s="306"/>
      <c r="AS62" s="150"/>
      <c r="AT62" s="150" t="str">
        <f t="shared" si="2"/>
        <v>Добавить источник для дифференциации</v>
      </c>
      <c r="AU62" s="150"/>
      <c r="AV62" s="150"/>
      <c r="AW62" s="43">
        <v>0</v>
      </c>
    </row>
    <row r="63" s="43" customFormat="1" hidden="1" customHeight="1" spans="1:49">
      <c r="A63" s="1131" t="s">
        <v>176</v>
      </c>
      <c r="B63" s="1131" t="s">
        <v>177</v>
      </c>
      <c r="C63" s="1131"/>
      <c r="D63" s="1131"/>
      <c r="E63" s="1130"/>
      <c r="F63" s="1129"/>
      <c r="G63" s="1131"/>
      <c r="H63" s="1131"/>
      <c r="I63" s="1131"/>
      <c r="J63" s="1131"/>
      <c r="K63" s="1131"/>
      <c r="L63" s="1131"/>
      <c r="M63" s="1133"/>
      <c r="N63" s="1135"/>
      <c r="O63" s="1135"/>
      <c r="P63" s="36"/>
      <c r="Q63" s="151"/>
      <c r="R63" s="1068"/>
      <c r="S63" s="151"/>
      <c r="T63" s="151"/>
      <c r="U63" s="1070"/>
      <c r="V63" s="1071" t="s">
        <v>251</v>
      </c>
      <c r="W63" s="306"/>
      <c r="X63" s="306"/>
      <c r="Y63" s="306"/>
      <c r="Z63" s="306"/>
      <c r="AA63" s="306"/>
      <c r="AB63" s="306"/>
      <c r="AC63" s="306"/>
      <c r="AD63" s="306"/>
      <c r="AE63" s="306"/>
      <c r="AF63" s="306"/>
      <c r="AG63" s="306"/>
      <c r="AH63" s="306"/>
      <c r="AI63" s="306"/>
      <c r="AJ63" s="306"/>
      <c r="AK63" s="306"/>
      <c r="AL63" s="306"/>
      <c r="AM63" s="306"/>
      <c r="AN63" s="306"/>
      <c r="AO63" s="306"/>
      <c r="AP63" s="306"/>
      <c r="AQ63" s="306"/>
      <c r="AS63" s="150"/>
      <c r="AT63" s="150" t="str">
        <f t="shared" si="2"/>
        <v>Добавить централизованную систему для дифференциации</v>
      </c>
      <c r="AU63" s="150"/>
      <c r="AV63" s="150"/>
      <c r="AW63" s="43">
        <v>0</v>
      </c>
    </row>
    <row r="64" s="43" customFormat="1" hidden="1" customHeight="1" spans="1:49">
      <c r="A64" s="1131" t="s">
        <v>176</v>
      </c>
      <c r="B64" s="1131"/>
      <c r="C64" s="1131"/>
      <c r="D64" s="1131"/>
      <c r="E64" s="1129"/>
      <c r="F64" s="1131"/>
      <c r="G64" s="1131"/>
      <c r="H64" s="1131"/>
      <c r="I64" s="1131"/>
      <c r="J64" s="1131"/>
      <c r="K64" s="1131"/>
      <c r="L64" s="1131"/>
      <c r="M64" s="1133"/>
      <c r="N64" s="1135"/>
      <c r="O64" s="1135"/>
      <c r="P64" s="36"/>
      <c r="Q64" s="151"/>
      <c r="R64" s="1068"/>
      <c r="S64" s="151"/>
      <c r="T64" s="151"/>
      <c r="U64" s="1070"/>
      <c r="V64" s="1071" t="s">
        <v>252</v>
      </c>
      <c r="W64" s="306"/>
      <c r="X64" s="306"/>
      <c r="Y64" s="306"/>
      <c r="Z64" s="306"/>
      <c r="AA64" s="306"/>
      <c r="AB64" s="306"/>
      <c r="AC64" s="306"/>
      <c r="AD64" s="306"/>
      <c r="AE64" s="306"/>
      <c r="AF64" s="306"/>
      <c r="AG64" s="306"/>
      <c r="AH64" s="306"/>
      <c r="AI64" s="306"/>
      <c r="AJ64" s="306"/>
      <c r="AK64" s="306"/>
      <c r="AL64" s="306"/>
      <c r="AM64" s="306"/>
      <c r="AN64" s="306"/>
      <c r="AO64" s="306"/>
      <c r="AP64" s="306"/>
      <c r="AQ64" s="306"/>
      <c r="AS64" s="150"/>
      <c r="AT64" s="150" t="str">
        <f t="shared" si="2"/>
        <v>Добавить территорию для дифференциации</v>
      </c>
      <c r="AU64" s="150"/>
      <c r="AV64" s="150"/>
      <c r="AW64" s="43">
        <v>0</v>
      </c>
    </row>
    <row r="65" s="43" customFormat="1" ht="4.2" customHeight="1" spans="1:49">
      <c r="A65" s="1131"/>
      <c r="B65" s="1131"/>
      <c r="C65" s="1131"/>
      <c r="D65" s="1131"/>
      <c r="E65" s="1131"/>
      <c r="F65" s="1131"/>
      <c r="G65" s="1131"/>
      <c r="H65" s="1131"/>
      <c r="I65" s="1131"/>
      <c r="J65" s="1131"/>
      <c r="K65" s="1131"/>
      <c r="L65" s="1131"/>
      <c r="M65" s="1133"/>
      <c r="N65" s="1135"/>
      <c r="O65" s="1135"/>
      <c r="P65" s="36"/>
      <c r="Q65" s="151"/>
      <c r="R65" s="1068"/>
      <c r="S65" s="151"/>
      <c r="T65" s="151"/>
      <c r="U65" s="1070"/>
      <c r="V65" s="1071" t="s">
        <v>253</v>
      </c>
      <c r="W65" s="306"/>
      <c r="X65" s="306"/>
      <c r="Y65" s="306"/>
      <c r="Z65" s="306"/>
      <c r="AA65" s="306"/>
      <c r="AB65" s="306"/>
      <c r="AC65" s="306"/>
      <c r="AD65" s="306"/>
      <c r="AE65" s="306"/>
      <c r="AF65" s="306"/>
      <c r="AG65" s="306"/>
      <c r="AH65" s="306"/>
      <c r="AI65" s="306"/>
      <c r="AJ65" s="306"/>
      <c r="AK65" s="306"/>
      <c r="AL65" s="306"/>
      <c r="AM65" s="306"/>
      <c r="AN65" s="306"/>
      <c r="AO65" s="306"/>
      <c r="AP65" s="306"/>
      <c r="AQ65" s="306"/>
      <c r="AS65" s="150"/>
      <c r="AT65" s="150" t="str">
        <f t="shared" si="2"/>
        <v>Добавить наименование тарифа</v>
      </c>
      <c r="AU65" s="150"/>
      <c r="AV65" s="150"/>
      <c r="AW65" s="43">
        <v>4</v>
      </c>
    </row>
    <row r="66" ht="11.55" customHeight="1" spans="14:49">
      <c r="N66" s="42"/>
      <c r="O66" s="42"/>
      <c r="P66" s="42"/>
      <c r="Q66" s="42"/>
      <c r="R66" s="42"/>
      <c r="S66" s="42"/>
      <c r="T66" s="42"/>
      <c r="U66" s="42"/>
      <c r="AR66" s="42"/>
      <c r="AS66" s="42"/>
      <c r="AT66" s="42"/>
      <c r="AU66" s="42"/>
      <c r="AV66" s="42"/>
      <c r="AW66" s="42">
        <v>11</v>
      </c>
    </row>
    <row r="67" ht="35.7" customHeight="1" spans="16:49">
      <c r="P67" s="42"/>
      <c r="U67" s="781"/>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W67" s="42">
        <v>34</v>
      </c>
    </row>
    <row r="68" ht="21" customHeight="1" spans="16:49">
      <c r="P68" s="42"/>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W68" s="42">
        <v>20</v>
      </c>
    </row>
    <row r="69" ht="14.7" customHeight="1" spans="16:49">
      <c r="P69" s="42"/>
      <c r="AW69" s="42">
        <v>14</v>
      </c>
    </row>
    <row r="70" ht="28.5" customHeight="1" spans="16:49">
      <c r="P70" s="42"/>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W70" s="42">
        <v>27</v>
      </c>
    </row>
    <row r="71" ht="18.75" customHeight="1" spans="16:49">
      <c r="P71" s="42"/>
      <c r="V71" s="119"/>
      <c r="W71" s="119"/>
      <c r="X71" s="119"/>
      <c r="Y71" s="119"/>
      <c r="Z71" s="119"/>
      <c r="AA71" s="119"/>
      <c r="AB71" s="119"/>
      <c r="AC71" s="119"/>
      <c r="AD71" s="119"/>
      <c r="AE71" s="119"/>
      <c r="AF71" s="119"/>
      <c r="AG71" s="119"/>
      <c r="AH71" s="119"/>
      <c r="AI71" s="119"/>
      <c r="AJ71" s="119"/>
      <c r="AK71" s="119"/>
      <c r="AL71" s="119"/>
      <c r="AM71" s="119"/>
      <c r="AN71" s="119"/>
      <c r="AO71" s="119"/>
      <c r="AP71" s="119"/>
      <c r="AQ71" s="119"/>
      <c r="AW71" s="42">
        <v>18</v>
      </c>
    </row>
    <row r="72" ht="22.5" hidden="1" customHeight="1" spans="1:49">
      <c r="A72" s="42" t="s">
        <v>83</v>
      </c>
      <c r="B72" s="42">
        <v>0</v>
      </c>
      <c r="C72" s="42">
        <v>0</v>
      </c>
      <c r="D72" s="42">
        <v>0</v>
      </c>
      <c r="E72" s="42">
        <v>0</v>
      </c>
      <c r="F72" s="42">
        <v>0</v>
      </c>
      <c r="G72" s="42">
        <v>0</v>
      </c>
      <c r="H72" s="42">
        <v>0</v>
      </c>
      <c r="I72" s="42">
        <v>0</v>
      </c>
      <c r="J72" s="42">
        <v>0</v>
      </c>
      <c r="K72" s="42">
        <v>0</v>
      </c>
      <c r="L72" s="42">
        <v>0</v>
      </c>
      <c r="M72" s="85">
        <v>0</v>
      </c>
      <c r="N72" s="39">
        <v>0</v>
      </c>
      <c r="O72" s="39">
        <v>0</v>
      </c>
      <c r="P72" s="39">
        <v>0</v>
      </c>
      <c r="Q72" s="39">
        <v>0</v>
      </c>
      <c r="R72" s="40">
        <v>3</v>
      </c>
      <c r="S72" s="40">
        <v>3</v>
      </c>
      <c r="T72" s="40">
        <v>3</v>
      </c>
      <c r="U72" s="41">
        <v>12</v>
      </c>
      <c r="V72" s="42">
        <v>31</v>
      </c>
      <c r="W72" s="42">
        <v>0</v>
      </c>
      <c r="X72" s="42">
        <v>0</v>
      </c>
      <c r="Y72" s="42">
        <v>0</v>
      </c>
      <c r="Z72" s="42">
        <v>0</v>
      </c>
      <c r="AA72" s="42">
        <v>0</v>
      </c>
      <c r="AB72" s="42">
        <v>0</v>
      </c>
      <c r="AC72" s="42">
        <v>0</v>
      </c>
      <c r="AD72" s="42">
        <v>0</v>
      </c>
      <c r="AE72" s="42">
        <v>0</v>
      </c>
      <c r="AF72" s="42">
        <v>0</v>
      </c>
      <c r="AG72" s="42">
        <v>21</v>
      </c>
      <c r="AH72" s="42">
        <v>21</v>
      </c>
      <c r="AI72" s="42">
        <v>21</v>
      </c>
      <c r="AJ72" s="42">
        <v>21</v>
      </c>
      <c r="AK72" s="42">
        <v>21</v>
      </c>
      <c r="AL72" s="42">
        <v>11</v>
      </c>
      <c r="AM72" s="42">
        <v>3</v>
      </c>
      <c r="AN72" s="42">
        <v>11</v>
      </c>
      <c r="AO72" s="42">
        <v>8</v>
      </c>
      <c r="AP72" s="42">
        <v>4</v>
      </c>
      <c r="AQ72" s="42">
        <v>115</v>
      </c>
      <c r="AR72" s="43">
        <v>10</v>
      </c>
      <c r="AS72" s="43">
        <v>10</v>
      </c>
      <c r="AT72" s="43">
        <v>10</v>
      </c>
      <c r="AU72" s="43">
        <v>10</v>
      </c>
      <c r="AV72" s="43">
        <v>10</v>
      </c>
      <c r="AW72" s="42">
        <v>23</v>
      </c>
    </row>
  </sheetData>
  <sheetProtection formatColumns="0" formatRows="0" insertRows="0" deleteColumns="0" deleteRows="0" sort="0" autoFilter="0"/>
  <mergeCells count="122">
    <mergeCell ref="X2:AF2"/>
    <mergeCell ref="AG2:AP2"/>
    <mergeCell ref="X3:AF3"/>
    <mergeCell ref="AG3:AP3"/>
    <mergeCell ref="X4:AF4"/>
    <mergeCell ref="AG4:AP4"/>
    <mergeCell ref="X5:AF5"/>
    <mergeCell ref="AG5:AP5"/>
    <mergeCell ref="X6:AF6"/>
    <mergeCell ref="AG6:AP6"/>
    <mergeCell ref="X7:AF7"/>
    <mergeCell ref="AG7:AP7"/>
    <mergeCell ref="U30:AN30"/>
    <mergeCell ref="U31:AN31"/>
    <mergeCell ref="U33:V33"/>
    <mergeCell ref="X33:AE33"/>
    <mergeCell ref="AG33:AN33"/>
    <mergeCell ref="U34:V34"/>
    <mergeCell ref="X34:AE34"/>
    <mergeCell ref="AG34:AN34"/>
    <mergeCell ref="U35:V35"/>
    <mergeCell ref="X35:AE35"/>
    <mergeCell ref="AG35:AN35"/>
    <mergeCell ref="U36:V36"/>
    <mergeCell ref="X36:AE36"/>
    <mergeCell ref="AG36:AN36"/>
    <mergeCell ref="U38:V38"/>
    <mergeCell ref="X38:AE38"/>
    <mergeCell ref="AG38:AN38"/>
    <mergeCell ref="U39:V39"/>
    <mergeCell ref="X39:AE39"/>
    <mergeCell ref="AG39:AN39"/>
    <mergeCell ref="X41:AF41"/>
    <mergeCell ref="AG41:AO41"/>
    <mergeCell ref="U42:AP42"/>
    <mergeCell ref="X43:AE43"/>
    <mergeCell ref="AG43:AN43"/>
    <mergeCell ref="Y44:AB44"/>
    <mergeCell ref="AH44:AK44"/>
    <mergeCell ref="Z45:AB45"/>
    <mergeCell ref="AI45:AK45"/>
    <mergeCell ref="AA46:AB46"/>
    <mergeCell ref="AJ46:AK46"/>
    <mergeCell ref="AD48:AE48"/>
    <mergeCell ref="AM48:AN48"/>
    <mergeCell ref="X49:AF49"/>
    <mergeCell ref="AG49:AP49"/>
    <mergeCell ref="X50:AF50"/>
    <mergeCell ref="AG50:AP50"/>
    <mergeCell ref="X51:AF51"/>
    <mergeCell ref="AG51:AP51"/>
    <mergeCell ref="X52:AF52"/>
    <mergeCell ref="AG52:AP52"/>
    <mergeCell ref="X53:AF53"/>
    <mergeCell ref="AG53:AP53"/>
    <mergeCell ref="X54:AF54"/>
    <mergeCell ref="AG54:AP54"/>
    <mergeCell ref="V67:AQ67"/>
    <mergeCell ref="V68:AQ68"/>
    <mergeCell ref="V70:AQ70"/>
    <mergeCell ref="V71:AQ71"/>
    <mergeCell ref="E2:E17"/>
    <mergeCell ref="E49:E64"/>
    <mergeCell ref="F3:F16"/>
    <mergeCell ref="F50:F63"/>
    <mergeCell ref="G4:G15"/>
    <mergeCell ref="G51:G62"/>
    <mergeCell ref="H5:H14"/>
    <mergeCell ref="H52:H61"/>
    <mergeCell ref="I6:I13"/>
    <mergeCell ref="I53:I60"/>
    <mergeCell ref="J7:J12"/>
    <mergeCell ref="J54:J59"/>
    <mergeCell ref="K8:K11"/>
    <mergeCell ref="K55:K58"/>
    <mergeCell ref="L9:L10"/>
    <mergeCell ref="L56:L57"/>
    <mergeCell ref="Q6:Q13"/>
    <mergeCell ref="Q53:Q60"/>
    <mergeCell ref="R7:R12"/>
    <mergeCell ref="R54:R59"/>
    <mergeCell ref="S8:S11"/>
    <mergeCell ref="U43:U47"/>
    <mergeCell ref="V43:V47"/>
    <mergeCell ref="X44:X47"/>
    <mergeCell ref="Y45:Y47"/>
    <mergeCell ref="Z46:Z47"/>
    <mergeCell ref="AC8:AC11"/>
    <mergeCell ref="AC46:AC47"/>
    <mergeCell ref="AC55:AC58"/>
    <mergeCell ref="AD8:AD11"/>
    <mergeCell ref="AD55:AD58"/>
    <mergeCell ref="AE8:AE11"/>
    <mergeCell ref="AE55:AE58"/>
    <mergeCell ref="AF8:AF11"/>
    <mergeCell ref="AF43:AF47"/>
    <mergeCell ref="AF55:AF58"/>
    <mergeCell ref="AG44:AG47"/>
    <mergeCell ref="AH45:AH47"/>
    <mergeCell ref="AI46:AI47"/>
    <mergeCell ref="AL8:AL11"/>
    <mergeCell ref="AL19:AL22"/>
    <mergeCell ref="AL46:AL47"/>
    <mergeCell ref="AL55:AL58"/>
    <mergeCell ref="AM8:AM11"/>
    <mergeCell ref="AM19:AM22"/>
    <mergeCell ref="AM55:AM58"/>
    <mergeCell ref="AN8:AN11"/>
    <mergeCell ref="AN19:AN22"/>
    <mergeCell ref="AN55:AN58"/>
    <mergeCell ref="AO8:AO11"/>
    <mergeCell ref="AO19:AO22"/>
    <mergeCell ref="AO43:AO47"/>
    <mergeCell ref="AO55:AO58"/>
    <mergeCell ref="AP43:AP47"/>
    <mergeCell ref="AQ9:AQ12"/>
    <mergeCell ref="AQ42:AQ47"/>
    <mergeCell ref="AQ56:AQ59"/>
    <mergeCell ref="AD46:AE47"/>
    <mergeCell ref="AC44:AE45"/>
    <mergeCell ref="AL44:AN45"/>
    <mergeCell ref="AM46:AN47"/>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8 AE8 AL8 AN8 AC55 AE55 AL55 AN55 AC65592 AE65592 AL65592 AN65592 AC131128 AE131128 AL131128 AN131128 AC196664 AE196664 AL196664 AN196664 AC262200 AE262200 AL262200 AN262200 AC327736 AE327736 AL327736 AN327736 AC393272 AE393272 AL393272 AN393272 AC458808 AE458808 AL458808 AN458808 AC524344 AE524344 AL524344 AN524344 AC589880 AE589880 AL589880 AN589880 AC655416 AE655416 AL655416 AN655416 AC720952 AE720952 AL720952 AN720952 AC786488 AE786488 AL786488 AN786488 AC852024 AE852024 AL852024 AN852024 AC917560 AE917560 AL917560 AN917560 AC983096 AE983096 AL983096 AN983096 AL19:AL21 AN19:AN21"/>
    <dataValidation allowBlank="1" showInputMessage="1" showErrorMessage="1" prompt="Для выбора выполните двойной щелчок левой клавиши мыши по соответствующей ячейке." sqref="AD8 AF8 AM8 AO8 AD55 AF55 AM55 AO55 AD65592 AF65592 AM65592 AO65592 AD131128 AF131128 AM131128 AO131128 AD196664 AF196664 AM196664 AO196664 AD262200 AF262200 AM262200 AO262200 AD327736 AF327736 AM327736 AO327736 AD393272 AF393272 AM393272 AO393272 AD458808 AF458808 AM458808 AO458808 AD524344 AF524344 AM524344 AO524344 AD589880 AF589880 AM589880 AO589880 AD655416 AF655416 AM655416 AO655416 AD720952 AF720952 AM720952 AO720952 AD786488 AF786488 AM786488 AO786488 AD852024 AF852024 AM852024 AO852024 AD917560 AF917560 AM917560 AO917560 AD983096 AF983096 AM983096 AO983096 AM19:AM21 AO19:AO21"/>
    <dataValidation allowBlank="1" promptTitle="checkPeriodRange" sqref="AK22 AB57 AK57 AB65593 AK65593 AB131129 AK131129 AB196665 AK196665 AB262201 AK262201 AB327737 AK327737 AB393273 AK393273 AB458809 AK458809 AB524345 AK524345 AB589881 AK589881 AB655417 AK655417 AB720953 AK720953 AB786489 AK786489 AB852025 AK852025 AB917561 AK917561 AB983097 AK983097 AB10:AB11 AK10:AK11"/>
    <dataValidation type="list" allowBlank="1" showInputMessage="1" showErrorMessage="1" errorTitle="Ошибка" error="Выберите значение из списка" sqref="X65590:Z65590 AG65590:AI65590 X131126:Z131126 AG131126:AI131126 X196662:Z196662 AG196662:AI196662 X262198:Z262198 AG262198:AI262198 X327734:Z327734 AG327734:AI327734 X393270:Z393270 AG393270:AI393270 X458806:Z458806 AG458806:AI458806 X524342:Z524342 AG524342:AI524342 X589878:Z589878 AG589878:AI589878 X655414:Z655414 AG655414:AI655414 X720950:Z720950 AG720950:AI720950 X786486:Z786486 AG786486:AI786486 X852022:Z852022 AG852022:AI852022 X917558:Z917558 AG917558:AI917558 X983094:Z983094 AG983094:AI983094">
      <formula1>kind_of_scheme_in</formula1>
    </dataValidation>
    <dataValidation type="list" allowBlank="1" showInputMessage="1" errorTitle="Ошибка" error="Выберите значение из списка" prompt="Выберите значение из списка" sqref="X65591:AP65591 X131127:AP131127 X196663:AP196663 X262199:AP262199 X327735:AP327735 X393271:AP393271 X458807:AP458807 X524343:AP524343 X589879:AP589879 X655415:AP655415 X720951:AP720951 X786487:AP786487 X852023:AP852023 X917559:AP917559 X983095:AP983095">
      <formula1>kind_of_cons</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589882:AQ589888 U196666:AQ196672 U655418:AQ655424 U262202:AQ262208 U720954:AQ720960 U327738:AQ327744 U786490:AQ786496 U393274:AQ393280 U852026:AQ852032 U458810:AQ458816 U917562:AQ917568 U65594:AQ65600 U524346:AQ524352 U983098:AQ983104"/>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Q79"/>
  <sheetViews>
    <sheetView showGridLines="0" zoomScale="90" zoomScaleNormal="90" topLeftCell="C11" workbookViewId="0">
      <selection activeCell="F21" sqref="F21"/>
    </sheetView>
  </sheetViews>
  <sheetFormatPr defaultColWidth="9.14285714285714" defaultRowHeight="11.25" customHeight="1"/>
  <cols>
    <col min="1" max="1" width="10.7142857142857" style="1315" hidden="1" customWidth="1"/>
    <col min="2" max="2" width="10.7142857142857" style="1018" hidden="1" customWidth="1"/>
    <col min="3" max="3" width="3" style="1316" customWidth="1"/>
    <col min="4" max="4" width="1" style="42" customWidth="1"/>
    <col min="5" max="6" width="55" style="42" customWidth="1"/>
    <col min="7" max="7" width="1" style="85" customWidth="1"/>
    <col min="8" max="8" width="18" style="42" hidden="1" customWidth="1"/>
    <col min="9" max="9" width="59" style="1317" customWidth="1"/>
    <col min="10" max="10" width="52.1428571428571" style="37" hidden="1" customWidth="1"/>
    <col min="11" max="11" width="8" style="42" customWidth="1"/>
    <col min="12" max="12" width="77" style="42" customWidth="1"/>
    <col min="13" max="16" width="8" style="42" customWidth="1"/>
    <col min="17" max="17" width="12" style="42" hidden="1" customWidth="1"/>
  </cols>
  <sheetData>
    <row r="1" s="963" customFormat="1" ht="3" customHeight="1" spans="1:17">
      <c r="A1" s="1315"/>
      <c r="B1" s="1318"/>
      <c r="F1" s="963" t="s">
        <v>13</v>
      </c>
      <c r="G1" s="1317"/>
      <c r="H1" s="572"/>
      <c r="I1" s="1317"/>
      <c r="J1" s="43"/>
      <c r="Q1" s="963" t="s">
        <v>14</v>
      </c>
    </row>
    <row r="2" s="572" customFormat="1" ht="14.25" customHeight="1" spans="1:17">
      <c r="A2" s="1315"/>
      <c r="B2" s="1018"/>
      <c r="E2" s="1319" t="str">
        <f>code</f>
        <v>Код отчёта: PP108.OPEN.INFO.PRICE.COLDVSNA.EIAS</v>
      </c>
      <c r="F2" s="1320"/>
      <c r="G2" s="39"/>
      <c r="H2" s="39"/>
      <c r="I2" s="39"/>
      <c r="J2" s="38"/>
      <c r="K2" s="39"/>
      <c r="Q2" s="572">
        <v>14</v>
      </c>
    </row>
    <row r="3" ht="14.7" customHeight="1" spans="5:17">
      <c r="E3" s="501" t="str">
        <f>version</f>
        <v>Версия отчёта: 1.1.1</v>
      </c>
      <c r="F3" s="1320"/>
      <c r="G3"/>
      <c r="H3"/>
      <c r="I3"/>
      <c r="J3" s="263"/>
      <c r="K3"/>
      <c r="Q3" s="42">
        <v>14</v>
      </c>
    </row>
    <row r="4" s="207" customFormat="1" ht="6.3" customHeight="1" spans="1:17">
      <c r="A4" s="1315"/>
      <c r="B4" s="1321"/>
      <c r="C4" s="1322"/>
      <c r="D4" s="1184"/>
      <c r="F4" s="1323"/>
      <c r="G4" s="85"/>
      <c r="H4" s="42"/>
      <c r="I4" s="1317"/>
      <c r="J4" s="1206"/>
      <c r="Q4" s="207">
        <v>6</v>
      </c>
    </row>
    <row r="5" ht="39.75" customHeight="1" spans="4:17">
      <c r="D5" s="1324"/>
      <c r="E5" s="126" t="str">
        <f>NameTemplatesInTitle</f>
        <v>Показатели, подлежащие раскрытию в сфере холодного водоснабжения (цены и тарифы)</v>
      </c>
      <c r="F5" s="125"/>
      <c r="G5" s="1325"/>
      <c r="J5" s="1351"/>
      <c r="Q5" s="42">
        <v>38</v>
      </c>
    </row>
    <row r="6" s="207" customFormat="1" ht="6.3" customHeight="1" spans="1:17">
      <c r="A6" s="1315"/>
      <c r="B6" s="1321"/>
      <c r="C6" s="1322"/>
      <c r="D6" s="1184"/>
      <c r="E6" s="1326"/>
      <c r="F6" s="1327"/>
      <c r="G6" s="1325"/>
      <c r="H6" s="42"/>
      <c r="I6" s="1317"/>
      <c r="J6" s="1206"/>
      <c r="Q6" s="207">
        <v>6</v>
      </c>
    </row>
    <row r="7" ht="21" customHeight="1" spans="4:17">
      <c r="D7" s="1324"/>
      <c r="E7" s="1328" t="s">
        <v>15</v>
      </c>
      <c r="F7" s="326" t="s">
        <v>16</v>
      </c>
      <c r="G7" s="1325"/>
      <c r="Q7" s="42">
        <v>20</v>
      </c>
    </row>
    <row r="8" s="207" customFormat="1" ht="6.3" customHeight="1" spans="1:17">
      <c r="A8" s="1329"/>
      <c r="B8" s="1321"/>
      <c r="C8" s="1322"/>
      <c r="D8" s="1330"/>
      <c r="E8" s="1326"/>
      <c r="F8" s="1331"/>
      <c r="G8" s="659"/>
      <c r="H8" s="42"/>
      <c r="I8" s="1317"/>
      <c r="J8" s="1352"/>
      <c r="Q8" s="207">
        <v>6</v>
      </c>
    </row>
    <row r="9" s="42" customFormat="1" ht="19.5" hidden="1" customHeight="1" spans="1:17">
      <c r="A9" s="1315"/>
      <c r="B9" s="1018"/>
      <c r="C9" s="1316"/>
      <c r="D9" s="1324"/>
      <c r="E9" s="1328" t="s">
        <v>17</v>
      </c>
      <c r="F9" s="1332"/>
      <c r="G9" s="1325"/>
      <c r="I9" s="41" t="str">
        <f>IF(TITLE_STRUCTURE_INFO_ROIV="","","раскрывается "&amp;INDEX(ROIV_INFO_COMMENT,MATCH(TITLE_STRUCTURE_INFO_ROIV,ROIV_INFO_LIST,0)))</f>
        <v/>
      </c>
      <c r="J9" s="37"/>
      <c r="Q9" s="42">
        <v>0</v>
      </c>
    </row>
    <row r="10" s="207" customFormat="1" ht="24" hidden="1" customHeight="1" spans="1:17">
      <c r="A10" s="1329"/>
      <c r="B10" s="1321"/>
      <c r="C10" s="1322"/>
      <c r="D10" s="1330"/>
      <c r="E10" s="1328" t="s">
        <v>18</v>
      </c>
      <c r="F10" s="1093" t="s">
        <v>19</v>
      </c>
      <c r="G10" s="659"/>
      <c r="H10" s="42"/>
      <c r="I10" s="1317"/>
      <c r="J10" s="1352"/>
      <c r="Q10" s="207">
        <v>24</v>
      </c>
    </row>
    <row r="11" ht="22.5" customHeight="1" spans="1:17">
      <c r="A11" s="1333" t="s">
        <v>20</v>
      </c>
      <c r="D11" s="1324"/>
      <c r="E11" s="1328" t="s">
        <v>21</v>
      </c>
      <c r="F11" s="254">
        <v>45658.3996759259</v>
      </c>
      <c r="G11" s="659"/>
      <c r="H11" s="1334" t="s">
        <v>22</v>
      </c>
      <c r="J11" s="37" t="s">
        <v>23</v>
      </c>
      <c r="Q11" s="42">
        <v>0</v>
      </c>
    </row>
    <row r="12" ht="22.5" customHeight="1" spans="1:17">
      <c r="A12" s="1333"/>
      <c r="D12" s="1324"/>
      <c r="E12" s="1328" t="s">
        <v>24</v>
      </c>
      <c r="F12" s="254">
        <v>46022.3998032407</v>
      </c>
      <c r="G12" s="52"/>
      <c r="J12" s="37" t="s">
        <v>25</v>
      </c>
      <c r="Q12" s="42">
        <v>0</v>
      </c>
    </row>
    <row r="13" s="42" customFormat="1" ht="22.5" hidden="1" customHeight="1" spans="1:17">
      <c r="A13" s="1335" t="s">
        <v>26</v>
      </c>
      <c r="B13" s="1018"/>
      <c r="C13" s="1316"/>
      <c r="D13" s="1324"/>
      <c r="E13" s="1336" t="s">
        <v>27</v>
      </c>
      <c r="F13" s="254" t="s">
        <v>28</v>
      </c>
      <c r="G13" s="659"/>
      <c r="H13"/>
      <c r="I13" s="1317"/>
      <c r="J13" s="38" t="s">
        <v>29</v>
      </c>
      <c r="Q13" s="42">
        <v>0</v>
      </c>
    </row>
    <row r="14" s="42" customFormat="1" ht="27" hidden="1" customHeight="1" spans="1:17">
      <c r="A14" s="1335" t="s">
        <v>30</v>
      </c>
      <c r="B14" s="1018"/>
      <c r="C14" s="1316"/>
      <c r="D14" s="1324"/>
      <c r="E14" s="1328" t="s">
        <v>31</v>
      </c>
      <c r="F14" s="809"/>
      <c r="G14" s="659"/>
      <c r="H14"/>
      <c r="I14" s="1317"/>
      <c r="J14" s="37" t="s">
        <v>32</v>
      </c>
      <c r="Q14" s="42">
        <v>0</v>
      </c>
    </row>
    <row r="15" s="42" customFormat="1" ht="19.5" hidden="1" customHeight="1" spans="1:17">
      <c r="A15" s="1335" t="s">
        <v>33</v>
      </c>
      <c r="B15" s="1018"/>
      <c r="C15" s="1316"/>
      <c r="D15" s="1324"/>
      <c r="E15" s="1328" t="s">
        <v>34</v>
      </c>
      <c r="F15" s="809"/>
      <c r="G15" s="659"/>
      <c r="H15"/>
      <c r="I15" s="1317"/>
      <c r="J15" s="37" t="s">
        <v>35</v>
      </c>
      <c r="Q15" s="42">
        <v>0</v>
      </c>
    </row>
    <row r="16" s="207" customFormat="1" ht="6.3" customHeight="1" spans="1:17">
      <c r="A16" s="1329"/>
      <c r="B16" s="1321"/>
      <c r="C16" s="1322"/>
      <c r="D16" s="1330"/>
      <c r="E16" s="1326"/>
      <c r="F16" s="1331"/>
      <c r="G16" s="659"/>
      <c r="H16" s="42"/>
      <c r="I16" s="1317"/>
      <c r="J16" s="1206"/>
      <c r="Q16" s="207">
        <v>6</v>
      </c>
    </row>
    <row r="17" ht="21" customHeight="1" spans="4:17">
      <c r="D17" s="1324"/>
      <c r="E17" s="1328" t="s">
        <v>36</v>
      </c>
      <c r="F17" s="446" t="s">
        <v>37</v>
      </c>
      <c r="G17" s="52"/>
      <c r="H17" s="1334" t="s">
        <v>22</v>
      </c>
      <c r="Q17" s="42">
        <v>20</v>
      </c>
    </row>
    <row r="18" ht="25.5" hidden="1" customHeight="1" spans="4:17">
      <c r="D18" s="1324"/>
      <c r="E18" s="1336" t="s">
        <v>38</v>
      </c>
      <c r="F18" s="622"/>
      <c r="G18" s="52"/>
      <c r="I18" s="1353"/>
      <c r="J18" s="1354" t="s">
        <v>39</v>
      </c>
      <c r="Q18" s="42">
        <v>0</v>
      </c>
    </row>
    <row r="19" ht="25.5" hidden="1" customHeight="1" spans="4:17">
      <c r="D19" s="1324"/>
      <c r="E19" s="1328"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622"/>
      <c r="G19" s="52"/>
      <c r="I19" s="1353"/>
      <c r="J19" s="1354"/>
      <c r="Q19" s="42">
        <v>0</v>
      </c>
    </row>
    <row r="20" ht="22.5" customHeight="1" spans="4:17">
      <c r="D20" s="1324"/>
      <c r="E20" s="1337"/>
      <c r="F20" s="85" t="str">
        <f>"Первичное "&amp;IF(TEMPLATE_GROUP="P","установление тарифов","предложение по тарифам")</f>
        <v>Первичное установление тарифов</v>
      </c>
      <c r="G20" s="52"/>
      <c r="I20" s="659"/>
      <c r="J20" s="1351" t="s">
        <v>40</v>
      </c>
      <c r="Q20" s="42">
        <v>0</v>
      </c>
    </row>
    <row r="21" ht="19.5" customHeight="1" spans="4:17">
      <c r="D21" s="1324"/>
      <c r="E21" s="1328" t="str">
        <f>"Дата "&amp;IF(TEMPLATE_GROUP="P","документа","подачи заявления")&amp;" об утверждении тарифов"</f>
        <v>Дата документа об утверждении тарифов</v>
      </c>
      <c r="F21" s="254">
        <v>45525</v>
      </c>
      <c r="G21" s="52"/>
      <c r="I21" s="1355"/>
      <c r="Q21" s="42">
        <v>0</v>
      </c>
    </row>
    <row r="22" ht="19.5" customHeight="1" spans="4:17">
      <c r="D22" s="1324"/>
      <c r="E22" s="1328" t="str">
        <f>"Номер "&amp;IF(TEMPLATE_GROUP="P","документа","подачи заявления")&amp;" об утверждении тарифов"</f>
        <v>Номер документа об утверждении тарифов</v>
      </c>
      <c r="F22" s="446" t="s">
        <v>41</v>
      </c>
      <c r="G22" s="52"/>
      <c r="I22" s="1355"/>
      <c r="Q22" s="42">
        <v>0</v>
      </c>
    </row>
    <row r="23" ht="22.5" customHeight="1" spans="4:17">
      <c r="D23" s="1324"/>
      <c r="E23" s="1328" t="s">
        <v>42</v>
      </c>
      <c r="F23" s="446" t="s">
        <v>43</v>
      </c>
      <c r="G23" s="52"/>
      <c r="Q23" s="42">
        <v>0</v>
      </c>
    </row>
    <row r="24" ht="19.5" customHeight="1" spans="4:17">
      <c r="D24" s="1324"/>
      <c r="E24" s="1328" t="s">
        <v>44</v>
      </c>
      <c r="F24" s="446" t="s">
        <v>45</v>
      </c>
      <c r="G24" s="52"/>
      <c r="Q24" s="42">
        <v>0</v>
      </c>
    </row>
    <row r="25" ht="22.5" hidden="1" customHeight="1" spans="4:17">
      <c r="D25" s="1324"/>
      <c r="E25" s="1337"/>
      <c r="F25" s="85" t="str">
        <f>"Изменение "&amp;IF(TEMPLATE_GROUP="P","тарифов","предложения по тарифам")</f>
        <v>Изменение тарифов</v>
      </c>
      <c r="G25" s="52"/>
      <c r="J25" s="1351" t="s">
        <v>46</v>
      </c>
      <c r="Q25" s="42">
        <v>0</v>
      </c>
    </row>
    <row r="26" ht="19.5" hidden="1" customHeight="1" spans="4:17">
      <c r="D26" s="1324"/>
      <c r="E26" s="1328" t="str">
        <f>"Дата "&amp;IF(TEMPLATE_GROUP="P","принятия решения","подачи заявления")&amp;" об изменении тарифов"</f>
        <v>Дата принятия решения об изменении тарифов</v>
      </c>
      <c r="F26" s="622"/>
      <c r="G26" s="52"/>
      <c r="Q26" s="42">
        <v>0</v>
      </c>
    </row>
    <row r="27" ht="19.5" hidden="1" customHeight="1" spans="4:17">
      <c r="D27" s="1324"/>
      <c r="E27" s="1328" t="str">
        <f>"Номер "&amp;IF(TEMPLATE_GROUP="P","принятия решения","заявления")&amp;" об изменении тарифов"</f>
        <v>Номер принятия решения об изменении тарифов</v>
      </c>
      <c r="F27" s="1145"/>
      <c r="G27" s="52"/>
      <c r="Q27" s="42">
        <v>0</v>
      </c>
    </row>
    <row r="28" ht="24.75" hidden="1" customHeight="1" spans="4:17">
      <c r="D28" s="1324"/>
      <c r="E28" s="1328" t="s">
        <v>47</v>
      </c>
      <c r="F28" s="1145"/>
      <c r="G28" s="52"/>
      <c r="Q28" s="42">
        <v>0</v>
      </c>
    </row>
    <row r="29" ht="19.5" hidden="1" customHeight="1" spans="4:17">
      <c r="D29" s="1324"/>
      <c r="E29" s="1328" t="s">
        <v>44</v>
      </c>
      <c r="F29" s="1145"/>
      <c r="G29" s="52"/>
      <c r="Q29" s="42">
        <v>0</v>
      </c>
    </row>
    <row r="30" s="207" customFormat="1" ht="6.3" customHeight="1" spans="1:17">
      <c r="A30" s="1329"/>
      <c r="B30" s="1321"/>
      <c r="C30" s="1322"/>
      <c r="D30" s="1330"/>
      <c r="E30" s="1326"/>
      <c r="F30" s="1331"/>
      <c r="G30" s="659"/>
      <c r="H30" s="42"/>
      <c r="I30" s="1317"/>
      <c r="J30" s="1206"/>
      <c r="Q30" s="207">
        <v>6</v>
      </c>
    </row>
    <row r="31" ht="21" customHeight="1" spans="3:17">
      <c r="C31" s="1338"/>
      <c r="D31" s="1339"/>
      <c r="E31" s="1328" t="str">
        <f>"Наименование "&amp;IF(TEMPLATE_GROUP="ROIV","органа тарифного регулирования","ЮЛ / ИП")</f>
        <v>Наименование ЮЛ / ИП</v>
      </c>
      <c r="F31" s="1340" t="s">
        <v>48</v>
      </c>
      <c r="G31" s="1341"/>
      <c r="Q31" s="42">
        <v>20</v>
      </c>
    </row>
    <row r="32" ht="21" hidden="1" customHeight="1" spans="3:17">
      <c r="C32" s="1338"/>
      <c r="D32" s="1339"/>
      <c r="E32" s="1342" t="s">
        <v>49</v>
      </c>
      <c r="F32" s="1340"/>
      <c r="G32" s="1341"/>
      <c r="Q32" s="42">
        <v>20</v>
      </c>
    </row>
    <row r="33" ht="21" customHeight="1" spans="3:17">
      <c r="C33" s="1338"/>
      <c r="D33" s="1339"/>
      <c r="E33" s="1328" t="s">
        <v>50</v>
      </c>
      <c r="F33" s="1340" t="s">
        <v>51</v>
      </c>
      <c r="G33" s="1341"/>
      <c r="Q33" s="42">
        <v>20</v>
      </c>
    </row>
    <row r="34" ht="21" customHeight="1" spans="3:17">
      <c r="C34" s="1338"/>
      <c r="D34" s="1339"/>
      <c r="E34" s="1328" t="s">
        <v>52</v>
      </c>
      <c r="F34" s="1340" t="s">
        <v>53</v>
      </c>
      <c r="G34" s="1341"/>
      <c r="H34" s="500"/>
      <c r="Q34" s="42">
        <v>20</v>
      </c>
    </row>
    <row r="35" s="207" customFormat="1" ht="11.55" customHeight="1" spans="1:17">
      <c r="A35" s="1329"/>
      <c r="B35" s="1321"/>
      <c r="C35" s="1322"/>
      <c r="D35" s="1330"/>
      <c r="E35" s="1326"/>
      <c r="F35" s="1331"/>
      <c r="G35" s="659"/>
      <c r="H35" s="42"/>
      <c r="I35" s="1317"/>
      <c r="J35" s="1206"/>
      <c r="Q35" s="207">
        <v>11</v>
      </c>
    </row>
    <row r="36" ht="19.5" hidden="1" customHeight="1" spans="1:17">
      <c r="A36" s="1343"/>
      <c r="D36" s="1339"/>
      <c r="E36" s="1328" t="s">
        <v>54</v>
      </c>
      <c r="F36" s="319"/>
      <c r="G36" s="659"/>
      <c r="Q36" s="42">
        <v>0</v>
      </c>
    </row>
    <row r="37" ht="21" customHeight="1" spans="1:17">
      <c r="A37" s="1343"/>
      <c r="D37" s="1339"/>
      <c r="E37" s="1328" t="s">
        <v>55</v>
      </c>
      <c r="F37" s="319" t="s">
        <v>56</v>
      </c>
      <c r="G37" s="659"/>
      <c r="Q37" s="42">
        <v>20</v>
      </c>
    </row>
    <row r="38" s="207" customFormat="1" ht="6.3" customHeight="1" spans="1:17">
      <c r="A38" s="1329"/>
      <c r="B38" s="1321"/>
      <c r="C38" s="1322"/>
      <c r="D38" s="1184"/>
      <c r="E38" s="1344"/>
      <c r="F38" s="1345"/>
      <c r="G38" s="52"/>
      <c r="H38" s="42"/>
      <c r="I38" s="1317"/>
      <c r="J38" s="37"/>
      <c r="Q38" s="207">
        <v>6</v>
      </c>
    </row>
    <row r="39" ht="36.75" customHeight="1" spans="1:17">
      <c r="A39" s="1329"/>
      <c r="D39" s="1324"/>
      <c r="E39" s="1328" t="s">
        <v>57</v>
      </c>
      <c r="F39" s="1093" t="s">
        <v>19</v>
      </c>
      <c r="G39" s="52"/>
      <c r="H39" s="1334" t="s">
        <v>22</v>
      </c>
      <c r="Q39" s="42">
        <v>35</v>
      </c>
    </row>
    <row r="40" s="207" customFormat="1" ht="6" hidden="1" customHeight="1" spans="1:17">
      <c r="A40" s="1315"/>
      <c r="B40" s="1321"/>
      <c r="C40" s="1322"/>
      <c r="D40" s="1184"/>
      <c r="E40" s="1344"/>
      <c r="F40" s="1345"/>
      <c r="G40" s="52"/>
      <c r="H40" s="42"/>
      <c r="I40" s="1317"/>
      <c r="J40" s="37"/>
      <c r="Q40" s="207">
        <v>6</v>
      </c>
    </row>
    <row r="41" s="42" customFormat="1" ht="26.25" hidden="1" customHeight="1" spans="1:17">
      <c r="A41" s="1335" t="s">
        <v>26</v>
      </c>
      <c r="B41" s="1018"/>
      <c r="C41" s="1316"/>
      <c r="D41" s="1324"/>
      <c r="E41" s="1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1093" t="s">
        <v>19</v>
      </c>
      <c r="G41" s="52"/>
      <c r="I41" s="1317"/>
      <c r="J41" s="37"/>
      <c r="Q41" s="42">
        <v>0</v>
      </c>
    </row>
    <row r="42" s="207" customFormat="1" ht="6" hidden="1" customHeight="1" spans="1:17">
      <c r="A42" s="1315"/>
      <c r="B42" s="1321"/>
      <c r="C42" s="1322"/>
      <c r="D42" s="1184"/>
      <c r="E42" s="1344"/>
      <c r="F42" s="1345"/>
      <c r="G42" s="52"/>
      <c r="H42" s="42"/>
      <c r="I42" s="1317"/>
      <c r="J42" s="1206"/>
      <c r="Q42" s="207">
        <v>0</v>
      </c>
    </row>
    <row r="43" s="42" customFormat="1" ht="27" hidden="1" customHeight="1" spans="1:17">
      <c r="A43" s="1315"/>
      <c r="B43" s="1018"/>
      <c r="C43" s="1316"/>
      <c r="D43" s="1324"/>
      <c r="E43" s="1328" t="s">
        <v>58</v>
      </c>
      <c r="F43" s="1093" t="s">
        <v>19</v>
      </c>
      <c r="G43" s="52"/>
      <c r="I43" s="1317"/>
      <c r="J43" s="37"/>
      <c r="Q43" s="42">
        <v>0</v>
      </c>
    </row>
    <row r="44" s="42" customFormat="1" ht="27" hidden="1" customHeight="1" spans="1:17">
      <c r="A44" s="1315"/>
      <c r="B44" s="1018"/>
      <c r="C44" s="1316"/>
      <c r="D44" s="1324"/>
      <c r="E44" s="1328" t="s">
        <v>59</v>
      </c>
      <c r="F44" s="1346"/>
      <c r="G44" s="52"/>
      <c r="I44" s="1317"/>
      <c r="J44" s="37"/>
      <c r="Q44" s="42">
        <v>0</v>
      </c>
    </row>
    <row r="45" s="207" customFormat="1" ht="6" hidden="1" customHeight="1" spans="1:17">
      <c r="A45" s="1315"/>
      <c r="B45" s="1321"/>
      <c r="C45" s="1322"/>
      <c r="D45" s="1184"/>
      <c r="E45" s="1344"/>
      <c r="F45" s="1345"/>
      <c r="G45" s="52"/>
      <c r="H45" s="42"/>
      <c r="I45" s="1317"/>
      <c r="J45" s="37"/>
      <c r="Q45" s="207">
        <v>0</v>
      </c>
    </row>
    <row r="46" s="207" customFormat="1" ht="24.75" hidden="1" customHeight="1" spans="1:17">
      <c r="A46" s="1315"/>
      <c r="B46" s="1321"/>
      <c r="C46" s="1322"/>
      <c r="D46" s="1184"/>
      <c r="E46" s="1328" t="s">
        <v>60</v>
      </c>
      <c r="F46" s="1093" t="s">
        <v>19</v>
      </c>
      <c r="G46" s="52"/>
      <c r="H46" s="42"/>
      <c r="I46" s="1317"/>
      <c r="J46" s="37"/>
      <c r="Q46" s="207">
        <v>0</v>
      </c>
    </row>
    <row r="47" s="42" customFormat="1" ht="24.75" hidden="1" customHeight="1" spans="1:17">
      <c r="A47" s="1315"/>
      <c r="B47" s="1018"/>
      <c r="C47" s="1316"/>
      <c r="D47" s="1324"/>
      <c r="E47" s="1328" t="s">
        <v>61</v>
      </c>
      <c r="F47" s="1093" t="s">
        <v>19</v>
      </c>
      <c r="G47" s="52"/>
      <c r="I47" s="1317"/>
      <c r="J47" s="37"/>
      <c r="Q47" s="42">
        <v>0</v>
      </c>
    </row>
    <row r="48" s="207" customFormat="1" ht="6" customHeight="1" spans="1:17">
      <c r="A48" s="1315"/>
      <c r="B48" s="1321"/>
      <c r="C48" s="1322"/>
      <c r="D48" s="1184"/>
      <c r="E48" s="1344"/>
      <c r="F48" s="1345"/>
      <c r="G48" s="52"/>
      <c r="H48" s="42"/>
      <c r="I48" s="1317"/>
      <c r="J48" s="37"/>
      <c r="Q48" s="207">
        <v>0</v>
      </c>
    </row>
    <row r="49" ht="29.25" customHeight="1" spans="4:17">
      <c r="D49" s="1324"/>
      <c r="E49" s="1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1093" t="s">
        <v>62</v>
      </c>
      <c r="G49" s="52"/>
      <c r="Q49" s="42">
        <v>0</v>
      </c>
    </row>
    <row r="50" s="207" customFormat="1" ht="6" hidden="1" customHeight="1" spans="1:17">
      <c r="A50" s="1329"/>
      <c r="B50" s="1321"/>
      <c r="C50" s="1322"/>
      <c r="D50" s="1330"/>
      <c r="E50" s="1326"/>
      <c r="F50" s="1331"/>
      <c r="G50" s="659"/>
      <c r="H50" s="42"/>
      <c r="I50" s="1317"/>
      <c r="J50" s="37"/>
      <c r="Q50" s="207">
        <v>0</v>
      </c>
    </row>
    <row r="51" s="42" customFormat="1" ht="28.5" hidden="1" customHeight="1" spans="1:17">
      <c r="A51" s="1347"/>
      <c r="B51" s="1018"/>
      <c r="C51" s="1316"/>
      <c r="D51" s="1317"/>
      <c r="E51" s="1328" t="s">
        <v>63</v>
      </c>
      <c r="F51" s="1093" t="s">
        <v>19</v>
      </c>
      <c r="G51" s="85"/>
      <c r="I51" s="47"/>
      <c r="J51" s="37"/>
      <c r="P51" s="749"/>
      <c r="Q51" s="42">
        <v>0</v>
      </c>
    </row>
    <row r="52" s="207" customFormat="1" ht="6" hidden="1" customHeight="1" spans="1:17">
      <c r="A52" s="1329"/>
      <c r="B52" s="1321"/>
      <c r="C52" s="1322"/>
      <c r="D52" s="1330"/>
      <c r="E52" s="1326"/>
      <c r="F52" s="1331"/>
      <c r="G52" s="659"/>
      <c r="H52" s="42"/>
      <c r="I52" s="1317"/>
      <c r="J52" s="1206"/>
      <c r="Q52" s="207">
        <v>0</v>
      </c>
    </row>
    <row r="53" s="42" customFormat="1" ht="27" hidden="1" customHeight="1" spans="1:17">
      <c r="A53" s="1347"/>
      <c r="B53" s="1018"/>
      <c r="C53" s="1316"/>
      <c r="D53" s="1317"/>
      <c r="E53" s="1328" t="s">
        <v>64</v>
      </c>
      <c r="F53" s="276" t="s">
        <v>19</v>
      </c>
      <c r="G53" s="85"/>
      <c r="I53" s="47"/>
      <c r="J53" s="37"/>
      <c r="P53" s="749"/>
      <c r="Q53" s="42">
        <v>0</v>
      </c>
    </row>
    <row r="54" s="42" customFormat="1" ht="27" hidden="1" customHeight="1" spans="1:17">
      <c r="A54" s="1347"/>
      <c r="B54" s="1018"/>
      <c r="C54" s="1316"/>
      <c r="D54" s="1317"/>
      <c r="E54" s="1328" t="s">
        <v>65</v>
      </c>
      <c r="F54" s="1348"/>
      <c r="G54" s="85"/>
      <c r="I54" s="47"/>
      <c r="J54" s="37"/>
      <c r="P54" s="749"/>
      <c r="Q54" s="42">
        <v>0</v>
      </c>
    </row>
    <row r="55" s="207" customFormat="1" ht="6" hidden="1" customHeight="1" spans="1:17">
      <c r="A55" s="1329"/>
      <c r="B55" s="1321"/>
      <c r="C55" s="1322"/>
      <c r="D55" s="1330"/>
      <c r="E55" s="1326"/>
      <c r="F55" s="1331"/>
      <c r="G55" s="659"/>
      <c r="H55" s="42"/>
      <c r="I55" s="1317"/>
      <c r="J55" s="1206"/>
      <c r="Q55" s="207">
        <v>0</v>
      </c>
    </row>
    <row r="56" s="42" customFormat="1" ht="25.5" hidden="1" customHeight="1" spans="1:17">
      <c r="A56" s="1347"/>
      <c r="B56" s="1018"/>
      <c r="C56" s="1316"/>
      <c r="D56" s="1317"/>
      <c r="E56" s="1328" t="s">
        <v>66</v>
      </c>
      <c r="F56" s="276" t="s">
        <v>19</v>
      </c>
      <c r="G56" s="85"/>
      <c r="I56" s="47"/>
      <c r="J56" s="37"/>
      <c r="P56" s="749"/>
      <c r="Q56" s="42">
        <v>0</v>
      </c>
    </row>
    <row r="57" s="207" customFormat="1" ht="6" hidden="1" customHeight="1" spans="1:17">
      <c r="A57" s="1329"/>
      <c r="B57" s="1321"/>
      <c r="C57" s="1322"/>
      <c r="D57" s="1330"/>
      <c r="E57" s="1326"/>
      <c r="F57" s="1331"/>
      <c r="G57" s="659"/>
      <c r="H57" s="42"/>
      <c r="I57" s="1317"/>
      <c r="J57" s="1206"/>
      <c r="Q57" s="207">
        <v>0</v>
      </c>
    </row>
    <row r="58" s="42" customFormat="1" ht="15" hidden="1" customHeight="1" spans="1:17">
      <c r="A58" s="1347"/>
      <c r="B58" s="1018"/>
      <c r="C58" s="1316"/>
      <c r="D58" s="1317"/>
      <c r="E58" s="1328" t="s">
        <v>67</v>
      </c>
      <c r="F58" s="276" t="s">
        <v>62</v>
      </c>
      <c r="G58" s="85"/>
      <c r="I58" s="47"/>
      <c r="J58" s="37"/>
      <c r="P58" s="749"/>
      <c r="Q58" s="42">
        <v>0</v>
      </c>
    </row>
    <row r="59" s="42" customFormat="1" ht="75" hidden="1" customHeight="1" spans="1:17">
      <c r="A59" s="1347"/>
      <c r="B59" s="1018"/>
      <c r="C59" s="1316"/>
      <c r="D59" s="1317"/>
      <c r="E59" s="1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276"/>
      <c r="G59" s="85"/>
      <c r="I59" s="47"/>
      <c r="J59" s="37"/>
      <c r="P59" s="749"/>
      <c r="Q59" s="42">
        <v>0</v>
      </c>
    </row>
    <row r="60" s="42" customFormat="1" ht="15" hidden="1" customHeight="1" spans="1:17">
      <c r="A60" s="1347"/>
      <c r="B60" s="1018"/>
      <c r="C60" s="1316"/>
      <c r="D60" s="1317"/>
      <c r="E60" s="1328" t="s">
        <v>68</v>
      </c>
      <c r="F60" s="319"/>
      <c r="G60" s="85"/>
      <c r="I60" s="47"/>
      <c r="J60" s="37"/>
      <c r="P60" s="749"/>
      <c r="Q60" s="42">
        <v>0</v>
      </c>
    </row>
    <row r="61" s="207" customFormat="1" ht="6" hidden="1" customHeight="1" spans="1:17">
      <c r="A61" s="1329"/>
      <c r="B61" s="1321"/>
      <c r="C61" s="1322"/>
      <c r="D61" s="1184"/>
      <c r="E61" s="1344"/>
      <c r="F61" s="1345"/>
      <c r="G61" s="52"/>
      <c r="H61" s="42"/>
      <c r="I61" s="1317"/>
      <c r="J61" s="37"/>
      <c r="Q61" s="207">
        <v>0</v>
      </c>
    </row>
    <row r="62" s="42" customFormat="1" ht="33.75" hidden="1" customHeight="1" spans="1:17">
      <c r="A62" s="1329"/>
      <c r="B62" s="1018"/>
      <c r="C62" s="1316"/>
      <c r="D62" s="1324"/>
      <c r="E62" s="1328" t="s">
        <v>69</v>
      </c>
      <c r="F62" s="1093" t="s">
        <v>62</v>
      </c>
      <c r="G62" s="52"/>
      <c r="H62" s="1334" t="s">
        <v>22</v>
      </c>
      <c r="I62" s="1317"/>
      <c r="J62" s="37"/>
      <c r="Q62" s="42">
        <v>0</v>
      </c>
    </row>
    <row r="63" s="207" customFormat="1" ht="6.3" customHeight="1" spans="1:17">
      <c r="A63" s="1329"/>
      <c r="B63" s="1321"/>
      <c r="C63" s="1322"/>
      <c r="D63" s="1330"/>
      <c r="E63" s="1326"/>
      <c r="F63" s="1331"/>
      <c r="G63" s="659"/>
      <c r="H63" s="42"/>
      <c r="I63" s="1317"/>
      <c r="J63" s="1206"/>
      <c r="Q63" s="207">
        <v>6</v>
      </c>
    </row>
    <row r="64" ht="21" customHeight="1" spans="2:17">
      <c r="B64" s="1349"/>
      <c r="D64" s="1350"/>
      <c r="E64" s="1328" t="s">
        <v>70</v>
      </c>
      <c r="F64" s="446" t="s">
        <v>71</v>
      </c>
      <c r="G64" s="659"/>
      <c r="Q64" s="42">
        <v>20</v>
      </c>
    </row>
    <row r="65" ht="21" customHeight="1" spans="2:17">
      <c r="B65" s="1349"/>
      <c r="D65" s="1350"/>
      <c r="E65" s="1328" t="s">
        <v>72</v>
      </c>
      <c r="F65" s="446" t="s">
        <v>73</v>
      </c>
      <c r="G65" s="659"/>
      <c r="Q65" s="42">
        <v>20</v>
      </c>
    </row>
    <row r="66" ht="36.75" customHeight="1" spans="4:17">
      <c r="D66" s="1324"/>
      <c r="E66" s="1356" t="s">
        <v>74</v>
      </c>
      <c r="F66" s="586"/>
      <c r="G66" s="52"/>
      <c r="Q66" s="42">
        <v>35</v>
      </c>
    </row>
    <row r="67" ht="21" customHeight="1" spans="4:17">
      <c r="D67" s="1324"/>
      <c r="E67" s="1328" t="s">
        <v>75</v>
      </c>
      <c r="F67" s="446" t="s">
        <v>76</v>
      </c>
      <c r="G67" s="659"/>
      <c r="Q67" s="42">
        <v>20</v>
      </c>
    </row>
    <row r="68" ht="21" customHeight="1" spans="2:17">
      <c r="B68" s="1349"/>
      <c r="D68" s="1350"/>
      <c r="E68" s="1328" t="s">
        <v>77</v>
      </c>
      <c r="F68" s="446" t="s">
        <v>78</v>
      </c>
      <c r="G68" s="659"/>
      <c r="Q68" s="42">
        <v>20</v>
      </c>
    </row>
    <row r="69" ht="21" customHeight="1" spans="2:17">
      <c r="B69" s="1349"/>
      <c r="D69" s="1350"/>
      <c r="E69" s="1328" t="s">
        <v>79</v>
      </c>
      <c r="F69" s="446" t="s">
        <v>80</v>
      </c>
      <c r="G69" s="659"/>
      <c r="Q69" s="42">
        <v>20</v>
      </c>
    </row>
    <row r="70" ht="21" customHeight="1" spans="4:17">
      <c r="D70" s="1324"/>
      <c r="E70" s="1328" t="s">
        <v>81</v>
      </c>
      <c r="F70" s="446" t="s">
        <v>82</v>
      </c>
      <c r="G70" s="52"/>
      <c r="Q70" s="42">
        <v>20</v>
      </c>
    </row>
    <row r="71" ht="21" customHeight="1" spans="4:17">
      <c r="D71" s="52"/>
      <c r="F71" s="1357"/>
      <c r="G71" s="659"/>
      <c r="Q71" s="42">
        <v>20</v>
      </c>
    </row>
    <row r="72" ht="21" customHeight="1" spans="2:17">
      <c r="B72" s="1349"/>
      <c r="D72" s="1350"/>
      <c r="E72" s="1358"/>
      <c r="F72" s="296" t="s">
        <v>13</v>
      </c>
      <c r="G72" s="659"/>
      <c r="Q72" s="42">
        <v>20</v>
      </c>
    </row>
    <row r="73" ht="21" customHeight="1" spans="2:17">
      <c r="B73" s="1349"/>
      <c r="D73" s="1350"/>
      <c r="E73" s="1358"/>
      <c r="F73" s="519"/>
      <c r="G73" s="659"/>
      <c r="Q73" s="42">
        <v>20</v>
      </c>
    </row>
    <row r="74" ht="21" customHeight="1" spans="2:17">
      <c r="B74" s="1349"/>
      <c r="D74" s="1350"/>
      <c r="E74" s="1359"/>
      <c r="F74" s="519"/>
      <c r="G74" s="659"/>
      <c r="Q74" s="42">
        <v>20</v>
      </c>
    </row>
    <row r="75" ht="21" customHeight="1" spans="2:17">
      <c r="B75" s="1349"/>
      <c r="D75" s="1350"/>
      <c r="E75" s="1358"/>
      <c r="F75" s="519"/>
      <c r="G75" s="659"/>
      <c r="Q75" s="42">
        <v>20</v>
      </c>
    </row>
    <row r="76" ht="11.55" customHeight="1" spans="17:17">
      <c r="Q76" s="42">
        <v>11</v>
      </c>
    </row>
    <row r="77" ht="11.55" customHeight="1" spans="17:17">
      <c r="Q77" s="42">
        <v>11</v>
      </c>
    </row>
    <row r="78" ht="11.55" customHeight="1" spans="5:17">
      <c r="E78" s="1360"/>
      <c r="F78" s="1360"/>
      <c r="G78" s="1360"/>
      <c r="H78" s="1360"/>
      <c r="I78" s="1360"/>
      <c r="Q78" s="42">
        <v>11</v>
      </c>
    </row>
    <row r="79" hidden="1" customHeight="1" spans="1:17">
      <c r="A79" s="1315" t="s">
        <v>83</v>
      </c>
      <c r="B79" s="1018">
        <v>0</v>
      </c>
      <c r="C79" s="1316">
        <v>3</v>
      </c>
      <c r="D79" s="42">
        <v>1</v>
      </c>
      <c r="E79" s="42">
        <v>55</v>
      </c>
      <c r="F79" s="42">
        <v>54</v>
      </c>
      <c r="G79" s="85">
        <v>1</v>
      </c>
      <c r="H79" s="42">
        <v>0</v>
      </c>
      <c r="I79" s="1317">
        <v>59</v>
      </c>
      <c r="J79" s="37">
        <v>0</v>
      </c>
      <c r="K79" s="42">
        <v>8</v>
      </c>
      <c r="L79" s="42">
        <v>77</v>
      </c>
      <c r="M79" s="42">
        <v>8</v>
      </c>
      <c r="N79" s="42">
        <v>8</v>
      </c>
      <c r="O79" s="42">
        <v>8</v>
      </c>
      <c r="P79" s="42">
        <v>8</v>
      </c>
      <c r="Q79" s="42">
        <v>11</v>
      </c>
    </row>
  </sheetData>
  <sheetProtection formatColumns="0" formatRows="0" insertRows="0" deleteColumns="0" deleteRows="0" sort="0" autoFilter="0"/>
  <mergeCells count="3">
    <mergeCell ref="E5:F5"/>
    <mergeCell ref="A11:A12"/>
    <mergeCell ref="J18:J19"/>
  </mergeCells>
  <dataValidations count="13">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Для выбора выполните двойной щелчок левой клавиши мыши по соответствующей ячейке." sqref="F10 F43 F49 F51 F53 F56 F58 F62 F39:F41 F45:F47"/>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26 F11:F13 F18:F19"/>
    <dataValidation allowBlank="1" showInputMessage="1" showErrorMessage="1" prompt="Выбор организации двойным щелчком левой клавиши мыши" sqref="F31"/>
    <dataValidation type="textLength" operator="lessThanOrEqual" allowBlank="1" showInputMessage="1" showErrorMessage="1" errorTitle="Ошибка" error="Допускается ввод не более 900 символов!" sqref="F32 F22:F24 F27:F29 F64:F65 F67:F70 F72:F75">
      <formula1>900</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10;ОСН - Общая система налогообложения&#10;УСН - Упрощённая система налогообложения&#10;ЕСХН - Единый сельскохозяйственный налог&#10;ПСН - Патентная система налогообложения&#10;НПД - Налог на профессиональный доход" sqref="F37">
      <formula1>kind_of_NDS</formula1>
    </dataValidation>
    <dataValidation type="list" allowBlank="1" showInputMessage="1" showErrorMessage="1" errorTitle="Ошибка" error="Выберите значение из списка" prompt="Выберите значение из списка" sqref="F38 F61">
      <formula1>kind_of_NDS</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s>
  <hyperlinks>
    <hyperlink ref="H11" location="Титульный!H9" display="Как заполнить?" tooltip="Помощь по работе с полями отчётной формы"/>
    <hyperlink ref="H17" location="Титульный!H9" display="Как заполнить?" tooltip="Помощь по работе с полями отчётной формы"/>
    <hyperlink ref="H39" location="Титульный!H9" display="Как заполнить?" tooltip="Помощь по работе с полями отчётной формы"/>
    <hyperlink ref="H62" location="Титульный!H9" display="Как заполнить?" tooltip="Помощь по работе с полями отчётной формы"/>
  </hyperlinks>
  <pageMargins left="0.75" right="0.75" top="1" bottom="1" header="0.5" footer="0.5"/>
  <pageSetup paperSize="8" orientation="portrait"/>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A70"/>
  <sheetViews>
    <sheetView showGridLines="0" zoomScale="90" zoomScaleNormal="90" workbookViewId="0">
      <pane xSplit="27" ySplit="44" topLeftCell="AB45"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 style="38" customWidth="1"/>
    <col min="17" max="17" width="3" style="1037" customWidth="1"/>
    <col min="18" max="18" width="3" style="40" customWidth="1"/>
    <col min="19" max="19" width="12" style="41" customWidth="1"/>
    <col min="20" max="20" width="31" style="42" customWidth="1"/>
    <col min="21" max="21" width="0.142857142857143" style="42" customWidth="1"/>
    <col min="22" max="23" width="21.7142857142857" style="42" hidden="1" customWidth="1"/>
    <col min="24" max="24" width="11.7142857142857" style="42" hidden="1" customWidth="1"/>
    <col min="25" max="25" width="3.71428571428571" style="42" hidden="1" customWidth="1"/>
    <col min="26" max="26" width="11.7142857142857" style="42" hidden="1" customWidth="1"/>
    <col min="27" max="27" width="8.57142857142857" style="42" hidden="1" customWidth="1"/>
    <col min="28" max="28" width="5.41904761904762" style="42" customWidth="1"/>
    <col min="29" max="30" width="3" style="42" customWidth="1"/>
    <col min="31" max="31" width="24" style="42" customWidth="1"/>
    <col min="32" max="32" width="3.71428571428571" style="42" customWidth="1"/>
    <col min="33" max="34" width="3" style="42" customWidth="1"/>
    <col min="35" max="35" width="24" style="42" customWidth="1"/>
    <col min="36" max="36" width="3.71428571428571" style="42" customWidth="1"/>
    <col min="37" max="38" width="3" style="42" customWidth="1"/>
    <col min="39" max="39" width="18" style="42" customWidth="1"/>
    <col min="40" max="41" width="21" style="42" customWidth="1"/>
    <col min="42" max="42" width="11" style="42" customWidth="1"/>
    <col min="43" max="43" width="3.71428571428571" style="42" customWidth="1"/>
    <col min="44" max="44" width="11" style="42" customWidth="1"/>
    <col min="45" max="45" width="8.57142857142857" style="42" hidden="1" customWidth="1"/>
    <col min="46" max="46" width="4" style="42" customWidth="1"/>
    <col min="47" max="47" width="115" style="42" customWidth="1"/>
    <col min="48" max="52" width="10" style="43" customWidth="1"/>
    <col min="53" max="53" width="10.5714285714286" style="42" hidden="1"/>
  </cols>
  <sheetData>
    <row r="1" ht="22.5" hidden="1" customHeight="1" spans="53:53">
      <c r="BA1" s="42" t="s">
        <v>14</v>
      </c>
    </row>
    <row r="2" ht="21" hidden="1" customHeight="1" spans="1:53">
      <c r="A2" s="45"/>
      <c r="B2" s="45"/>
      <c r="C2" s="45"/>
      <c r="D2" s="45"/>
      <c r="E2" s="1038">
        <v>1</v>
      </c>
      <c r="F2" s="45"/>
      <c r="G2" s="45"/>
      <c r="H2" s="45"/>
      <c r="I2" s="45"/>
      <c r="J2" s="45"/>
      <c r="K2" s="45"/>
      <c r="L2" s="1040"/>
      <c r="M2" s="46"/>
      <c r="N2" s="46"/>
      <c r="O2" s="46"/>
      <c r="Q2" s="263"/>
      <c r="R2" s="81"/>
      <c r="S2" s="64" t="e">
        <f>INDEX(PT_DIFFERENTIATION_NUM_NTAR,MATCH(A2,PT_DIFFERENTIATION_NTAR_ID,0))</f>
        <v>#N/A</v>
      </c>
      <c r="T2" s="82" t="s">
        <v>125</v>
      </c>
      <c r="U2" s="83"/>
      <c r="V2" s="1047"/>
      <c r="W2" s="1047"/>
      <c r="X2" s="1047"/>
      <c r="Y2" s="1047"/>
      <c r="Z2" s="1047"/>
      <c r="AA2" s="1075"/>
      <c r="AB2" s="1076" t="e">
        <f>INDEX(PT_DIFFERENTIATION_NTAR,MATCH(A2,PT_DIFFERENTIATION_NTAR_ID,0))</f>
        <v>#N/A</v>
      </c>
      <c r="AC2" s="1047"/>
      <c r="AD2" s="1047"/>
      <c r="AE2" s="1047"/>
      <c r="AF2" s="1047"/>
      <c r="AG2" s="1047"/>
      <c r="AH2" s="1047"/>
      <c r="AI2" s="1047"/>
      <c r="AJ2" s="1047"/>
      <c r="AK2" s="1047"/>
      <c r="AL2" s="1047"/>
      <c r="AM2" s="1047"/>
      <c r="AN2" s="1047"/>
      <c r="AO2" s="1047"/>
      <c r="AP2" s="1047"/>
      <c r="AQ2" s="1047"/>
      <c r="AR2" s="1047"/>
      <c r="AS2" s="1047"/>
      <c r="AT2" s="1075"/>
      <c r="AU2" s="135" t="s">
        <v>401</v>
      </c>
      <c r="AW2" s="150"/>
      <c r="AX2" s="150" t="str">
        <f t="shared" ref="AX2:AX8" si="0">IF(T2="","",T2)</f>
        <v>Наименование тарифа</v>
      </c>
      <c r="AY2" s="150"/>
      <c r="AZ2" s="150"/>
      <c r="BA2" s="42">
        <v>0</v>
      </c>
    </row>
    <row r="3" ht="21" hidden="1" customHeight="1" spans="1:53">
      <c r="A3" s="45"/>
      <c r="B3" s="45"/>
      <c r="C3" s="45"/>
      <c r="D3" s="45"/>
      <c r="E3" s="1039"/>
      <c r="F3" s="1038">
        <v>1</v>
      </c>
      <c r="G3" s="45"/>
      <c r="H3" s="45"/>
      <c r="I3" s="45"/>
      <c r="J3" s="45"/>
      <c r="K3" s="45"/>
      <c r="L3" s="1040"/>
      <c r="M3" s="46"/>
      <c r="N3" s="46"/>
      <c r="O3" s="46"/>
      <c r="P3" s="47"/>
      <c r="Q3" s="1048"/>
      <c r="R3" s="87"/>
      <c r="S3" s="64" t="e">
        <f>INDEX(PT_DIFFERENTIATION_NUM_TER,MATCH(B3,PT_DIFFERENTIATION_TER_ID,0))</f>
        <v>#N/A</v>
      </c>
      <c r="T3" s="88" t="s">
        <v>402</v>
      </c>
      <c r="U3" s="83"/>
      <c r="V3" s="1047"/>
      <c r="W3" s="1047"/>
      <c r="X3" s="1047"/>
      <c r="Y3" s="1047"/>
      <c r="Z3" s="1047"/>
      <c r="AA3" s="1075"/>
      <c r="AB3" s="1076" t="e">
        <f>INDEX(PT_DIFFERENTIATION_TER,MATCH(B3,PT_DIFFERENTIATION_TER_ID,0))</f>
        <v>#N/A</v>
      </c>
      <c r="AC3" s="1047"/>
      <c r="AD3" s="1047"/>
      <c r="AE3" s="1047"/>
      <c r="AF3" s="1047"/>
      <c r="AG3" s="1047"/>
      <c r="AH3" s="1047"/>
      <c r="AI3" s="1047"/>
      <c r="AJ3" s="1047"/>
      <c r="AK3" s="1047"/>
      <c r="AL3" s="1047"/>
      <c r="AM3" s="1047"/>
      <c r="AN3" s="1047"/>
      <c r="AO3" s="1047"/>
      <c r="AP3" s="1047"/>
      <c r="AQ3" s="1047"/>
      <c r="AR3" s="1047"/>
      <c r="AS3" s="1047"/>
      <c r="AT3" s="1075"/>
      <c r="AU3" s="135" t="s">
        <v>403</v>
      </c>
      <c r="AW3" s="150"/>
      <c r="AX3" s="150" t="str">
        <f t="shared" si="0"/>
        <v>Территория действия тарифа</v>
      </c>
      <c r="AY3" s="150"/>
      <c r="AZ3" s="150"/>
      <c r="BA3" s="42">
        <v>0</v>
      </c>
    </row>
    <row r="4" ht="22.5" hidden="1" customHeight="1" spans="1:53">
      <c r="A4" s="45"/>
      <c r="B4" s="45"/>
      <c r="C4" s="45"/>
      <c r="D4" s="45"/>
      <c r="E4" s="1039"/>
      <c r="F4" s="1039"/>
      <c r="G4" s="1038">
        <v>1</v>
      </c>
      <c r="H4" s="45"/>
      <c r="I4" s="45"/>
      <c r="J4" s="45"/>
      <c r="K4" s="45"/>
      <c r="L4" s="1040"/>
      <c r="M4" s="46"/>
      <c r="N4" s="46"/>
      <c r="O4" s="46"/>
      <c r="P4" s="1041"/>
      <c r="Q4" s="1048"/>
      <c r="R4" s="87"/>
      <c r="S4" s="64" t="e">
        <f>INDEX(PT_DIFFERENTIATION_NUM_CS,MATCH(C4,PT_DIFFERENTIATION_CS_ID,0))</f>
        <v>#N/A</v>
      </c>
      <c r="T4" s="90" t="s">
        <v>404</v>
      </c>
      <c r="U4" s="83"/>
      <c r="V4" s="1047"/>
      <c r="W4" s="1047"/>
      <c r="X4" s="1047"/>
      <c r="Y4" s="1047"/>
      <c r="Z4" s="1047"/>
      <c r="AA4" s="1075"/>
      <c r="AB4" s="1076" t="e">
        <f>INDEX(PT_DIFFERENTIATION_CS,MATCH(C4,PT_DIFFERENTIATION_CS_ID,0))</f>
        <v>#N/A</v>
      </c>
      <c r="AC4" s="1047"/>
      <c r="AD4" s="1047"/>
      <c r="AE4" s="1047"/>
      <c r="AF4" s="1047"/>
      <c r="AG4" s="1047"/>
      <c r="AH4" s="1047"/>
      <c r="AI4" s="1047"/>
      <c r="AJ4" s="1047"/>
      <c r="AK4" s="1047"/>
      <c r="AL4" s="1047"/>
      <c r="AM4" s="1047"/>
      <c r="AN4" s="1047"/>
      <c r="AO4" s="1047"/>
      <c r="AP4" s="1047"/>
      <c r="AQ4" s="1047"/>
      <c r="AR4" s="1047"/>
      <c r="AS4" s="1047"/>
      <c r="AT4" s="1075"/>
      <c r="AU4" s="135" t="s">
        <v>405</v>
      </c>
      <c r="AW4" s="150"/>
      <c r="AX4" s="150" t="str">
        <f t="shared" si="0"/>
        <v>Наименование системы теплоснабжения </v>
      </c>
      <c r="AY4" s="150"/>
      <c r="AZ4" s="150"/>
      <c r="BA4" s="42">
        <v>0</v>
      </c>
    </row>
    <row r="5" ht="21" hidden="1" customHeight="1" spans="1:53">
      <c r="A5" s="45"/>
      <c r="B5" s="45"/>
      <c r="C5" s="45"/>
      <c r="D5" s="45"/>
      <c r="E5" s="1039"/>
      <c r="F5" s="1039"/>
      <c r="G5" s="1039"/>
      <c r="H5" s="1038">
        <v>1</v>
      </c>
      <c r="I5" s="45"/>
      <c r="J5" s="45"/>
      <c r="K5" s="45"/>
      <c r="L5" s="1040"/>
      <c r="M5" s="46"/>
      <c r="N5" s="46"/>
      <c r="O5" s="46"/>
      <c r="P5" s="1041"/>
      <c r="Q5" s="1048"/>
      <c r="R5" s="87"/>
      <c r="S5" s="64" t="e">
        <f>INDEX(PT_DIFFERENTIATION_NUM_IST_TE,MATCH(D5,PT_DIFFERENTIATION_IST_TE_ID,0))</f>
        <v>#N/A</v>
      </c>
      <c r="T5" s="91" t="s">
        <v>406</v>
      </c>
      <c r="U5" s="83"/>
      <c r="V5" s="1047"/>
      <c r="W5" s="1047"/>
      <c r="X5" s="1047"/>
      <c r="Y5" s="1047"/>
      <c r="Z5" s="1047"/>
      <c r="AA5" s="1075"/>
      <c r="AB5" s="1076" t="e">
        <f>INDEX(PT_DIFFERENTIATION_IST_TE,MATCH(D5,PT_DIFFERENTIATION_IST_TE_ID,0))</f>
        <v>#N/A</v>
      </c>
      <c r="AC5" s="1047"/>
      <c r="AD5" s="1047"/>
      <c r="AE5" s="1047"/>
      <c r="AF5" s="1047"/>
      <c r="AG5" s="1047"/>
      <c r="AH5" s="1047"/>
      <c r="AI5" s="1047"/>
      <c r="AJ5" s="1047"/>
      <c r="AK5" s="1047"/>
      <c r="AL5" s="1047"/>
      <c r="AM5" s="1047"/>
      <c r="AN5" s="1047"/>
      <c r="AO5" s="1047"/>
      <c r="AP5" s="1047"/>
      <c r="AQ5" s="1047"/>
      <c r="AR5" s="1047"/>
      <c r="AS5" s="1047"/>
      <c r="AT5" s="1075"/>
      <c r="AU5" s="135" t="s">
        <v>407</v>
      </c>
      <c r="AW5" s="150"/>
      <c r="AX5" s="150" t="str">
        <f t="shared" si="0"/>
        <v>Источник тепловой энергии  </v>
      </c>
      <c r="AY5" s="150"/>
      <c r="AZ5" s="150"/>
      <c r="BA5" s="42">
        <v>0</v>
      </c>
    </row>
    <row r="6" s="43" customFormat="1" ht="0.75" hidden="1" customHeight="1" spans="1:53">
      <c r="A6" s="587"/>
      <c r="B6" s="587"/>
      <c r="C6" s="587"/>
      <c r="D6" s="587"/>
      <c r="E6" s="1039"/>
      <c r="F6" s="1039"/>
      <c r="G6" s="1039"/>
      <c r="H6" s="1039"/>
      <c r="I6" s="228" t="e">
        <f>S5&amp;".1"</f>
        <v>#N/A</v>
      </c>
      <c r="J6" s="587"/>
      <c r="K6" s="587"/>
      <c r="L6" s="608" t="s">
        <v>408</v>
      </c>
      <c r="M6" s="1043"/>
      <c r="N6" s="1043"/>
      <c r="O6" s="1043"/>
      <c r="P6" s="92">
        <v>1</v>
      </c>
      <c r="Q6" s="92"/>
      <c r="R6" s="93"/>
      <c r="S6" s="329"/>
      <c r="T6" s="1053"/>
      <c r="U6" s="1051"/>
      <c r="V6" s="1052"/>
      <c r="W6" s="1052"/>
      <c r="X6" s="1052"/>
      <c r="Y6" s="1052"/>
      <c r="Z6" s="1052"/>
      <c r="AA6" s="1077"/>
      <c r="AB6" s="1078"/>
      <c r="AC6" s="1052"/>
      <c r="AD6" s="1052"/>
      <c r="AE6" s="1052"/>
      <c r="AF6" s="1052"/>
      <c r="AG6" s="1052"/>
      <c r="AH6" s="1052"/>
      <c r="AI6" s="1052"/>
      <c r="AJ6" s="1052"/>
      <c r="AK6" s="1052"/>
      <c r="AL6" s="1052"/>
      <c r="AM6" s="1052"/>
      <c r="AN6" s="1052"/>
      <c r="AO6" s="1052"/>
      <c r="AP6" s="1052"/>
      <c r="AQ6" s="1052"/>
      <c r="AR6" s="1052"/>
      <c r="AS6" s="1052"/>
      <c r="AT6" s="1077"/>
      <c r="AU6" s="981"/>
      <c r="AW6" s="150"/>
      <c r="AX6" s="150" t="str">
        <f t="shared" si="0"/>
        <v/>
      </c>
      <c r="AY6" s="150"/>
      <c r="AZ6" s="150"/>
      <c r="BA6" s="43">
        <v>0</v>
      </c>
    </row>
    <row r="7" s="43" customFormat="1" ht="0.75" hidden="1" customHeight="1" spans="1:53">
      <c r="A7" s="587"/>
      <c r="B7" s="587"/>
      <c r="C7" s="587"/>
      <c r="D7" s="587"/>
      <c r="E7" s="1039"/>
      <c r="F7" s="1039"/>
      <c r="G7" s="1039"/>
      <c r="H7" s="1039"/>
      <c r="I7" s="1044"/>
      <c r="J7" s="228" t="e">
        <f>S5&amp;".1"</f>
        <v>#N/A</v>
      </c>
      <c r="K7" s="587"/>
      <c r="L7" s="608"/>
      <c r="M7" s="1043"/>
      <c r="N7" s="1043"/>
      <c r="O7" s="1043"/>
      <c r="P7" s="92"/>
      <c r="Q7" s="92">
        <v>1</v>
      </c>
      <c r="R7" s="96"/>
      <c r="S7" s="329"/>
      <c r="T7" s="1054"/>
      <c r="U7" s="1051"/>
      <c r="V7" s="1052"/>
      <c r="W7" s="1052"/>
      <c r="X7" s="1052"/>
      <c r="Y7" s="1052"/>
      <c r="Z7" s="1052"/>
      <c r="AA7" s="1077"/>
      <c r="AB7" s="1078"/>
      <c r="AC7" s="1052"/>
      <c r="AD7" s="1052"/>
      <c r="AE7" s="1052"/>
      <c r="AF7" s="1052"/>
      <c r="AG7" s="1052"/>
      <c r="AH7" s="1052"/>
      <c r="AI7" s="1052"/>
      <c r="AJ7" s="1052"/>
      <c r="AK7" s="1052"/>
      <c r="AL7" s="1052"/>
      <c r="AM7" s="1052"/>
      <c r="AN7" s="1052"/>
      <c r="AO7" s="1052"/>
      <c r="AP7" s="1052"/>
      <c r="AQ7" s="1052"/>
      <c r="AR7" s="1052"/>
      <c r="AS7" s="1052"/>
      <c r="AT7" s="1077"/>
      <c r="AU7" s="981"/>
      <c r="AW7" s="150"/>
      <c r="AX7" s="150" t="str">
        <f t="shared" si="0"/>
        <v/>
      </c>
      <c r="AY7" s="150"/>
      <c r="AZ7" s="150"/>
      <c r="BA7" s="43">
        <v>0</v>
      </c>
    </row>
    <row r="8" ht="21" hidden="1" customHeight="1" spans="1:53">
      <c r="A8" s="45"/>
      <c r="B8" s="45"/>
      <c r="C8" s="45"/>
      <c r="D8" s="45"/>
      <c r="E8" s="1039"/>
      <c r="F8" s="1039"/>
      <c r="G8" s="1039"/>
      <c r="H8" s="1039"/>
      <c r="I8" s="1044"/>
      <c r="J8" s="1044"/>
      <c r="K8" s="228" t="e">
        <f>S5&amp;".1"</f>
        <v>#N/A</v>
      </c>
      <c r="L8" s="1040"/>
      <c r="P8" s="92"/>
      <c r="Q8" s="92"/>
      <c r="R8" s="1055">
        <v>1</v>
      </c>
      <c r="S8" s="1056" t="e">
        <f>$K8</f>
        <v>#N/A</v>
      </c>
      <c r="T8" s="1137"/>
      <c r="U8" s="83"/>
      <c r="V8" s="101"/>
      <c r="W8" s="137"/>
      <c r="X8" s="138"/>
      <c r="Y8" s="139" t="s">
        <v>62</v>
      </c>
      <c r="Z8" s="138"/>
      <c r="AA8" s="139" t="s">
        <v>62</v>
      </c>
      <c r="AB8" s="139" t="s">
        <v>19</v>
      </c>
      <c r="AC8" s="1079"/>
      <c r="AD8" s="661">
        <v>1</v>
      </c>
      <c r="AE8" s="1093"/>
      <c r="AF8" s="139" t="s">
        <v>19</v>
      </c>
      <c r="AG8" s="1079"/>
      <c r="AH8" s="661">
        <v>1</v>
      </c>
      <c r="AI8" s="1093"/>
      <c r="AJ8" s="139" t="s">
        <v>19</v>
      </c>
      <c r="AK8" s="1103"/>
      <c r="AL8" s="661">
        <v>1</v>
      </c>
      <c r="AM8" s="276"/>
      <c r="AN8" s="101"/>
      <c r="AO8" s="137"/>
      <c r="AP8" s="138"/>
      <c r="AQ8" s="139" t="s">
        <v>62</v>
      </c>
      <c r="AR8" s="138"/>
      <c r="AS8" s="139" t="s">
        <v>62</v>
      </c>
      <c r="AT8" s="1106"/>
      <c r="AU8" s="140" t="s">
        <v>466</v>
      </c>
      <c r="AV8" s="43" t="e">
        <f>STRCHECKDATE(V11:AT11)</f>
        <v>#NAME?</v>
      </c>
      <c r="AW8" s="150"/>
      <c r="AX8" s="150" t="str">
        <f t="shared" si="0"/>
        <v/>
      </c>
      <c r="AY8" s="150"/>
      <c r="AZ8" s="150"/>
      <c r="BA8" s="42">
        <v>0</v>
      </c>
    </row>
    <row r="9" ht="11.25" hidden="1" customHeight="1" spans="1:53">
      <c r="A9" s="45"/>
      <c r="B9" s="45"/>
      <c r="C9" s="45"/>
      <c r="D9" s="45"/>
      <c r="E9" s="1039"/>
      <c r="F9" s="1039"/>
      <c r="G9" s="1039"/>
      <c r="H9" s="1039"/>
      <c r="I9" s="1044"/>
      <c r="J9" s="1044"/>
      <c r="K9" s="228"/>
      <c r="L9" s="1040"/>
      <c r="P9" s="92"/>
      <c r="Q9" s="92"/>
      <c r="R9" s="1055"/>
      <c r="S9" s="1058"/>
      <c r="T9" s="1143"/>
      <c r="U9" s="83"/>
      <c r="V9" s="1060"/>
      <c r="W9" s="1107"/>
      <c r="X9" s="138"/>
      <c r="Y9" s="139"/>
      <c r="Z9" s="138"/>
      <c r="AA9" s="139"/>
      <c r="AB9" s="139"/>
      <c r="AC9" s="1079"/>
      <c r="AD9" s="661"/>
      <c r="AE9" s="1093"/>
      <c r="AF9" s="139"/>
      <c r="AG9" s="1079"/>
      <c r="AH9" s="661"/>
      <c r="AI9" s="1093"/>
      <c r="AJ9" s="139"/>
      <c r="AK9" s="330"/>
      <c r="AL9" s="331"/>
      <c r="AM9" s="226" t="s">
        <v>467</v>
      </c>
      <c r="AN9" s="1060"/>
      <c r="AO9" s="1061"/>
      <c r="AP9" s="1060"/>
      <c r="AQ9" s="1060"/>
      <c r="AR9" s="1060"/>
      <c r="AS9" s="1060"/>
      <c r="AT9" s="1147"/>
      <c r="AU9" s="143"/>
      <c r="AW9" s="150"/>
      <c r="AX9" s="150"/>
      <c r="AY9" s="150"/>
      <c r="AZ9" s="150"/>
      <c r="BA9" s="42">
        <v>0</v>
      </c>
    </row>
    <row r="10" ht="11.25" hidden="1" customHeight="1" spans="1:53">
      <c r="A10" s="45"/>
      <c r="B10" s="45"/>
      <c r="C10" s="45"/>
      <c r="D10" s="45"/>
      <c r="E10" s="1039"/>
      <c r="F10" s="1039"/>
      <c r="G10" s="1039"/>
      <c r="H10" s="1039"/>
      <c r="I10" s="1044"/>
      <c r="J10" s="1044"/>
      <c r="K10" s="228"/>
      <c r="L10" s="1040"/>
      <c r="P10" s="92"/>
      <c r="Q10" s="92"/>
      <c r="R10" s="1055"/>
      <c r="S10" s="1058"/>
      <c r="T10" s="1143"/>
      <c r="U10" s="83"/>
      <c r="V10" s="1060"/>
      <c r="W10" s="1107"/>
      <c r="X10" s="138"/>
      <c r="Y10" s="139"/>
      <c r="Z10" s="138"/>
      <c r="AA10" s="139"/>
      <c r="AB10" s="139"/>
      <c r="AC10" s="1079"/>
      <c r="AD10" s="661"/>
      <c r="AE10" s="1093"/>
      <c r="AF10" s="139"/>
      <c r="AG10" s="900"/>
      <c r="AH10" s="226"/>
      <c r="AI10" s="226" t="s">
        <v>468</v>
      </c>
      <c r="AJ10" s="1060"/>
      <c r="AK10" s="1060"/>
      <c r="AL10" s="1060"/>
      <c r="AM10" s="1060"/>
      <c r="AN10" s="1060"/>
      <c r="AO10" s="1061"/>
      <c r="AP10" s="1060"/>
      <c r="AQ10" s="1060"/>
      <c r="AR10" s="1060"/>
      <c r="AS10" s="1060"/>
      <c r="AT10" s="1147"/>
      <c r="AU10" s="143"/>
      <c r="AW10" s="150"/>
      <c r="AX10" s="150"/>
      <c r="AY10" s="150"/>
      <c r="AZ10" s="150"/>
      <c r="BA10" s="42">
        <v>0</v>
      </c>
    </row>
    <row r="11" ht="11.25" hidden="1" customHeight="1" spans="1:53">
      <c r="A11" s="45"/>
      <c r="B11" s="45"/>
      <c r="C11" s="45"/>
      <c r="D11" s="45"/>
      <c r="E11" s="1039"/>
      <c r="F11" s="1039"/>
      <c r="G11" s="1039"/>
      <c r="H11" s="1039"/>
      <c r="I11" s="1044"/>
      <c r="J11" s="1044"/>
      <c r="K11" s="228"/>
      <c r="L11" s="1040"/>
      <c r="P11" s="92"/>
      <c r="Q11" s="92"/>
      <c r="R11" s="1055"/>
      <c r="S11" s="1062"/>
      <c r="T11" s="1144"/>
      <c r="U11" s="83"/>
      <c r="V11" s="1060"/>
      <c r="W11" s="1108" t="str">
        <f>X8&amp;"-"&amp;Z8</f>
        <v>-</v>
      </c>
      <c r="X11" s="142"/>
      <c r="Y11" s="139"/>
      <c r="Z11" s="142"/>
      <c r="AA11" s="139"/>
      <c r="AB11" s="139"/>
      <c r="AC11" s="1080"/>
      <c r="AD11" s="1081"/>
      <c r="AE11" s="226" t="s">
        <v>469</v>
      </c>
      <c r="AF11" s="1060"/>
      <c r="AG11" s="1060"/>
      <c r="AH11" s="1060"/>
      <c r="AI11" s="1060"/>
      <c r="AJ11" s="1060"/>
      <c r="AK11" s="1060"/>
      <c r="AL11" s="1060"/>
      <c r="AM11" s="1060"/>
      <c r="AN11" s="1060"/>
      <c r="AO11" s="1064" t="str">
        <f>AP8&amp;"-"&amp;AR8</f>
        <v>-</v>
      </c>
      <c r="AP11" s="1060"/>
      <c r="AQ11" s="1060"/>
      <c r="AR11" s="1060"/>
      <c r="AS11" s="1060"/>
      <c r="AT11" s="1148"/>
      <c r="AU11" s="143"/>
      <c r="AW11" s="150"/>
      <c r="AX11" s="150" t="str">
        <f t="shared" ref="AX11:AX17" si="1">IF(T11="","",T11)</f>
        <v/>
      </c>
      <c r="AY11" s="150"/>
      <c r="AZ11" s="150"/>
      <c r="BA11" s="42">
        <v>0</v>
      </c>
    </row>
    <row r="12" ht="11.25" hidden="1" customHeight="1" spans="1:53">
      <c r="A12" s="45"/>
      <c r="B12" s="45"/>
      <c r="C12" s="45"/>
      <c r="D12" s="45"/>
      <c r="E12" s="1039"/>
      <c r="F12" s="1039"/>
      <c r="G12" s="1039"/>
      <c r="H12" s="1039"/>
      <c r="I12" s="1044"/>
      <c r="J12" s="228"/>
      <c r="K12" s="45"/>
      <c r="L12" s="1040"/>
      <c r="P12" s="92"/>
      <c r="Q12" s="92"/>
      <c r="R12" s="93"/>
      <c r="S12" s="104"/>
      <c r="T12" s="107" t="s">
        <v>470</v>
      </c>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44"/>
      <c r="AU12" s="145"/>
      <c r="AW12" s="150"/>
      <c r="AX12" s="150" t="str">
        <f t="shared" si="1"/>
        <v>Добавить строку</v>
      </c>
      <c r="AY12" s="150"/>
      <c r="AZ12" s="150"/>
      <c r="BA12" s="42">
        <v>0</v>
      </c>
    </row>
    <row r="13" s="43" customFormat="1" ht="0.75" hidden="1" customHeight="1" spans="1:53">
      <c r="A13" s="587"/>
      <c r="B13" s="587"/>
      <c r="C13" s="587"/>
      <c r="D13" s="587"/>
      <c r="E13" s="1039"/>
      <c r="F13" s="1039"/>
      <c r="G13" s="1039"/>
      <c r="H13" s="1039"/>
      <c r="I13" s="228"/>
      <c r="J13" s="587"/>
      <c r="K13" s="587"/>
      <c r="L13" s="608"/>
      <c r="M13" s="1043"/>
      <c r="N13" s="1043"/>
      <c r="O13" s="1043"/>
      <c r="P13" s="92"/>
      <c r="Q13" s="92"/>
      <c r="R13" s="93"/>
      <c r="S13" s="1065"/>
      <c r="T13" s="1066"/>
      <c r="U13" s="1067"/>
      <c r="V13" s="1067"/>
      <c r="W13" s="1067"/>
      <c r="X13" s="1067"/>
      <c r="Y13" s="1067"/>
      <c r="Z13" s="1067"/>
      <c r="AA13" s="1067"/>
      <c r="AB13" s="1067"/>
      <c r="AC13" s="1067"/>
      <c r="AD13" s="1067"/>
      <c r="AE13" s="1067"/>
      <c r="AF13" s="1067"/>
      <c r="AG13" s="1067"/>
      <c r="AH13" s="1067"/>
      <c r="AI13" s="1067"/>
      <c r="AJ13" s="1067"/>
      <c r="AK13" s="1067"/>
      <c r="AL13" s="1067"/>
      <c r="AM13" s="1067"/>
      <c r="AN13" s="1067"/>
      <c r="AO13" s="1067"/>
      <c r="AP13" s="1067"/>
      <c r="AQ13" s="1067"/>
      <c r="AR13" s="1067"/>
      <c r="AS13" s="1067"/>
      <c r="AT13" s="1067"/>
      <c r="AU13" s="1109"/>
      <c r="AW13" s="150"/>
      <c r="AX13" s="150" t="str">
        <f t="shared" si="1"/>
        <v/>
      </c>
      <c r="AY13" s="150"/>
      <c r="AZ13" s="150"/>
      <c r="BA13" s="43">
        <v>0</v>
      </c>
    </row>
    <row r="14" s="43" customFormat="1" ht="0.75" hidden="1" customHeight="1" spans="1:53">
      <c r="A14" s="587"/>
      <c r="B14" s="587"/>
      <c r="C14" s="587"/>
      <c r="D14" s="587"/>
      <c r="E14" s="1039"/>
      <c r="F14" s="1039"/>
      <c r="G14" s="1039"/>
      <c r="H14" s="1038"/>
      <c r="I14" s="587"/>
      <c r="J14" s="587"/>
      <c r="K14" s="587"/>
      <c r="L14" s="608"/>
      <c r="M14" s="282"/>
      <c r="N14" s="282"/>
      <c r="P14" s="151"/>
      <c r="Q14" s="1068"/>
      <c r="R14" s="1069"/>
      <c r="S14" s="1065"/>
      <c r="T14" s="1066"/>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109"/>
      <c r="AW14" s="150"/>
      <c r="AX14" s="150" t="str">
        <f t="shared" si="1"/>
        <v/>
      </c>
      <c r="AY14" s="150"/>
      <c r="AZ14" s="150"/>
      <c r="BA14" s="43">
        <v>0</v>
      </c>
    </row>
    <row r="15" s="43" customFormat="1" ht="0.75" hidden="1" customHeight="1" spans="1:53">
      <c r="A15" s="587"/>
      <c r="B15" s="587"/>
      <c r="C15" s="587"/>
      <c r="D15" s="587"/>
      <c r="E15" s="1039"/>
      <c r="F15" s="1039"/>
      <c r="G15" s="1038"/>
      <c r="H15" s="587"/>
      <c r="I15" s="587"/>
      <c r="J15" s="587"/>
      <c r="K15" s="587"/>
      <c r="L15" s="608"/>
      <c r="M15" s="282"/>
      <c r="N15" s="282"/>
      <c r="P15" s="151"/>
      <c r="Q15" s="1068"/>
      <c r="R15" s="151"/>
      <c r="S15" s="1070"/>
      <c r="T15" s="1071" t="s">
        <v>419</v>
      </c>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W15" s="150"/>
      <c r="AX15" s="150" t="str">
        <f t="shared" si="1"/>
        <v>Добавить источник для дифференциации</v>
      </c>
      <c r="AY15" s="150"/>
      <c r="AZ15" s="150"/>
      <c r="BA15" s="43">
        <v>0</v>
      </c>
    </row>
    <row r="16" s="43" customFormat="1" ht="0.75" hidden="1" customHeight="1" spans="1:53">
      <c r="A16" s="587"/>
      <c r="B16" s="587"/>
      <c r="C16" s="587"/>
      <c r="D16" s="587"/>
      <c r="E16" s="1039"/>
      <c r="F16" s="1038"/>
      <c r="G16" s="587"/>
      <c r="H16" s="587"/>
      <c r="I16" s="587"/>
      <c r="J16" s="587"/>
      <c r="K16" s="587"/>
      <c r="L16" s="608"/>
      <c r="M16" s="1045"/>
      <c r="N16" s="1045"/>
      <c r="P16" s="151"/>
      <c r="Q16" s="1068"/>
      <c r="R16" s="151"/>
      <c r="S16" s="1070"/>
      <c r="T16" s="1071" t="s">
        <v>251</v>
      </c>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W16" s="150"/>
      <c r="AX16" s="150" t="str">
        <f t="shared" si="1"/>
        <v>Добавить централизованную систему для дифференциации</v>
      </c>
      <c r="AY16" s="150"/>
      <c r="AZ16" s="150"/>
      <c r="BA16" s="43">
        <v>0</v>
      </c>
    </row>
    <row r="17" s="43" customFormat="1" ht="0.75" hidden="1" customHeight="1" spans="1:53">
      <c r="A17" s="587"/>
      <c r="B17" s="587"/>
      <c r="C17" s="587"/>
      <c r="D17" s="587"/>
      <c r="E17" s="1038"/>
      <c r="F17" s="587"/>
      <c r="G17" s="587"/>
      <c r="H17" s="587"/>
      <c r="I17" s="587"/>
      <c r="J17" s="587"/>
      <c r="K17" s="587"/>
      <c r="L17" s="608"/>
      <c r="M17" s="1045"/>
      <c r="N17" s="1045"/>
      <c r="P17" s="151"/>
      <c r="Q17" s="1068"/>
      <c r="R17" s="151"/>
      <c r="S17" s="1070"/>
      <c r="T17" s="1071" t="s">
        <v>252</v>
      </c>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W17" s="150"/>
      <c r="AX17" s="150" t="str">
        <f t="shared" si="1"/>
        <v>Добавить территорию для дифференциации</v>
      </c>
      <c r="AY17" s="150"/>
      <c r="AZ17" s="150"/>
      <c r="BA17" s="43">
        <v>0</v>
      </c>
    </row>
    <row r="18" hidden="1" customHeight="1" spans="53:53">
      <c r="BA18" s="42">
        <v>0</v>
      </c>
    </row>
    <row r="19" hidden="1" customHeight="1" spans="28:53">
      <c r="AB19" s="306" t="s">
        <v>19</v>
      </c>
      <c r="AC19" s="1083"/>
      <c r="AD19" s="306">
        <v>1</v>
      </c>
      <c r="AE19" s="1095"/>
      <c r="AF19" s="306" t="s">
        <v>19</v>
      </c>
      <c r="AG19" s="1083"/>
      <c r="AH19" s="306">
        <v>1</v>
      </c>
      <c r="AI19" s="1095"/>
      <c r="AJ19" s="306" t="s">
        <v>19</v>
      </c>
      <c r="AK19" s="1096"/>
      <c r="AL19" s="306">
        <v>1</v>
      </c>
      <c r="AM19" s="1146"/>
      <c r="AN19" s="484"/>
      <c r="AO19" s="1140"/>
      <c r="AP19" s="1110"/>
      <c r="AQ19" s="493" t="s">
        <v>62</v>
      </c>
      <c r="AR19" s="1110"/>
      <c r="AS19" s="493" t="s">
        <v>62</v>
      </c>
      <c r="BA19" s="42">
        <v>0</v>
      </c>
    </row>
    <row r="20" hidden="1" customHeight="1" spans="48:53">
      <c r="AV20" s="36"/>
      <c r="AW20" s="36"/>
      <c r="AX20" s="36"/>
      <c r="AY20" s="36"/>
      <c r="AZ20" s="36"/>
      <c r="BA20" s="42">
        <v>0</v>
      </c>
    </row>
    <row r="21" hidden="1" customHeight="1" spans="15:53">
      <c r="O21" s="1046" t="s">
        <v>420</v>
      </c>
      <c r="X21" s="1084"/>
      <c r="Z21" s="1084"/>
      <c r="AP21" s="1084"/>
      <c r="AR21" s="1084"/>
      <c r="AV21" s="36"/>
      <c r="AW21" s="36"/>
      <c r="AX21" s="36"/>
      <c r="AY21" s="36"/>
      <c r="AZ21" s="36"/>
      <c r="BA21" s="42">
        <v>0</v>
      </c>
    </row>
    <row r="22" hidden="1" customHeight="1" spans="48:53">
      <c r="AV22" s="36"/>
      <c r="AW22" s="36"/>
      <c r="AX22" s="36"/>
      <c r="AY22" s="36"/>
      <c r="AZ22" s="36"/>
      <c r="BA22" s="42">
        <v>0</v>
      </c>
    </row>
    <row r="23" s="1036" customFormat="1" hidden="1" customHeight="1" spans="13:53">
      <c r="M23" s="48"/>
      <c r="N23" s="48"/>
      <c r="O23" s="1036" t="s">
        <v>421</v>
      </c>
      <c r="P23" s="48"/>
      <c r="Q23" s="1072"/>
      <c r="R23" s="1072"/>
      <c r="Y23" s="1036" t="s">
        <v>423</v>
      </c>
      <c r="AA23" s="1036" t="s">
        <v>424</v>
      </c>
      <c r="AB23" s="1036" t="s">
        <v>471</v>
      </c>
      <c r="AE23" s="1036" t="s">
        <v>472</v>
      </c>
      <c r="AF23" s="1036" t="s">
        <v>471</v>
      </c>
      <c r="AI23" s="1036" t="s">
        <v>473</v>
      </c>
      <c r="AJ23" s="1036" t="s">
        <v>471</v>
      </c>
      <c r="AM23" s="1036" t="s">
        <v>474</v>
      </c>
      <c r="AQ23" s="1036" t="s">
        <v>423</v>
      </c>
      <c r="AS23" s="1036" t="s">
        <v>424</v>
      </c>
      <c r="AV23" s="1111"/>
      <c r="AW23" s="1111"/>
      <c r="AX23" s="1111"/>
      <c r="AY23" s="1111"/>
      <c r="AZ23" s="1111"/>
      <c r="BA23" s="1036">
        <v>0</v>
      </c>
    </row>
    <row r="24" hidden="1" customHeight="1" spans="15:53">
      <c r="O24" s="1040"/>
      <c r="AV24" s="36"/>
      <c r="AW24" s="36"/>
      <c r="AX24" s="36"/>
      <c r="AY24" s="36"/>
      <c r="AZ24" s="36"/>
      <c r="BA24" s="42">
        <v>0</v>
      </c>
    </row>
    <row r="25" hidden="1" customHeight="1" spans="15:53">
      <c r="O25" s="1040"/>
      <c r="AV25" s="36"/>
      <c r="AW25" s="36"/>
      <c r="AX25" s="36"/>
      <c r="AY25" s="36"/>
      <c r="AZ25" s="36"/>
      <c r="BA25" s="42">
        <v>0</v>
      </c>
    </row>
    <row r="26" ht="14.7" customHeight="1" spans="17:53">
      <c r="Q26" s="1073"/>
      <c r="R26" s="50"/>
      <c r="S26" s="51"/>
      <c r="T26" s="52"/>
      <c r="U26" s="52"/>
      <c r="BA26" s="42">
        <v>14</v>
      </c>
    </row>
    <row r="27" ht="27.3" customHeight="1" spans="17:53">
      <c r="Q27" s="1073"/>
      <c r="R27" s="50"/>
      <c r="S27" s="75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750"/>
      <c r="U27" s="750"/>
      <c r="V27" s="750"/>
      <c r="W27" s="750"/>
      <c r="X27" s="750"/>
      <c r="Y27" s="750"/>
      <c r="Z27" s="750"/>
      <c r="AA27" s="750"/>
      <c r="AB27" s="750"/>
      <c r="AC27" s="750"/>
      <c r="AD27" s="750"/>
      <c r="AE27" s="750"/>
      <c r="AF27" s="750"/>
      <c r="AG27" s="750"/>
      <c r="AH27" s="750"/>
      <c r="AI27" s="750"/>
      <c r="AJ27" s="750"/>
      <c r="AK27" s="750"/>
      <c r="AL27" s="750"/>
      <c r="AM27" s="750"/>
      <c r="AN27" s="750"/>
      <c r="AO27" s="750"/>
      <c r="AP27" s="750"/>
      <c r="AQ27" s="750"/>
      <c r="AR27" s="750"/>
      <c r="AS27" s="120"/>
      <c r="BA27" s="42">
        <v>26</v>
      </c>
    </row>
    <row r="28" ht="14.7" customHeight="1" spans="17:53">
      <c r="Q28" s="1073"/>
      <c r="R28" s="50"/>
      <c r="S28" s="657" t="str">
        <f>IF(org=0,"Не определено",org)</f>
        <v>АО "ОЭЗ ППТ "Алабуга"</v>
      </c>
      <c r="T28" s="657"/>
      <c r="U28" s="657"/>
      <c r="V28" s="657"/>
      <c r="W28" s="657"/>
      <c r="X28" s="657"/>
      <c r="Y28" s="657"/>
      <c r="Z28" s="657"/>
      <c r="AA28" s="657"/>
      <c r="AB28" s="657"/>
      <c r="AC28" s="657"/>
      <c r="AD28" s="657"/>
      <c r="AE28" s="657"/>
      <c r="AF28" s="657"/>
      <c r="AG28" s="657"/>
      <c r="AH28" s="657"/>
      <c r="AI28" s="657"/>
      <c r="AJ28" s="657"/>
      <c r="AK28" s="657"/>
      <c r="AL28" s="657"/>
      <c r="AM28" s="657"/>
      <c r="AN28" s="657"/>
      <c r="AO28" s="657"/>
      <c r="AP28" s="657"/>
      <c r="AQ28" s="657"/>
      <c r="AR28" s="657"/>
      <c r="AS28" s="120"/>
      <c r="BA28" s="42">
        <v>14</v>
      </c>
    </row>
    <row r="29" customHeight="1" spans="17:53">
      <c r="Q29" s="1073"/>
      <c r="R29" s="50"/>
      <c r="S29" s="51"/>
      <c r="T29" s="52"/>
      <c r="U29" s="52"/>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BA29" s="42">
        <v>0</v>
      </c>
    </row>
    <row r="30" s="35" customFormat="1" ht="25.5" customHeight="1" spans="1:53">
      <c r="A30" s="44"/>
      <c r="B30" s="44"/>
      <c r="C30" s="44"/>
      <c r="D30" s="44"/>
      <c r="E30" s="44"/>
      <c r="F30" s="44"/>
      <c r="G30" s="44"/>
      <c r="H30" s="44"/>
      <c r="I30" s="44"/>
      <c r="J30" s="44"/>
      <c r="K30" s="44"/>
      <c r="L30" s="1040"/>
      <c r="M30" s="44"/>
      <c r="N30" s="44"/>
      <c r="O30" s="44"/>
      <c r="P30" s="44"/>
      <c r="Q30" s="44"/>
      <c r="S30" s="57" t="s">
        <v>42</v>
      </c>
      <c r="T30" s="57"/>
      <c r="U30" s="1074"/>
      <c r="V30" s="59" t="str">
        <f>IF(TITLE_NAME_OR_PR_CHANGE="",IF(TITLE_NAME_OR_PR="","",TITLE_NAME_OR_PR),TITLE_NAME_OR_PR_CHANGE)</f>
        <v>Государственный комитет РТ по тарифам</v>
      </c>
      <c r="W30" s="59"/>
      <c r="X30" s="59"/>
      <c r="Y30" s="59"/>
      <c r="Z30" s="59"/>
      <c r="AA30" s="42"/>
      <c r="AB30" s="59" t="str">
        <f>IF(TITLE_NAME_OR_PR_CHANGE="",IF(TITLE_NAME_OR_PR="","",TITLE_NAME_OR_PR),TITLE_NAME_OR_PR_CHANGE)</f>
        <v>Государственный комитет РТ по тарифам</v>
      </c>
      <c r="AC30" s="59"/>
      <c r="AD30" s="59"/>
      <c r="AE30" s="59"/>
      <c r="AF30" s="59"/>
      <c r="AG30" s="59"/>
      <c r="AH30" s="59"/>
      <c r="AI30" s="59"/>
      <c r="AJ30" s="59"/>
      <c r="AK30" s="59"/>
      <c r="AL30" s="59"/>
      <c r="AM30" s="59"/>
      <c r="AN30" s="59"/>
      <c r="AO30" s="59"/>
      <c r="AP30" s="59"/>
      <c r="AQ30" s="59"/>
      <c r="AR30" s="59"/>
      <c r="AS30" s="42"/>
      <c r="AT30" s="42"/>
      <c r="AU30" s="121"/>
      <c r="AV30" s="150"/>
      <c r="AW30" s="150"/>
      <c r="AX30" s="150"/>
      <c r="AY30" s="150"/>
      <c r="AZ30" s="150"/>
      <c r="BA30" s="35">
        <v>0</v>
      </c>
    </row>
    <row r="31" s="35" customFormat="1" ht="18.75" customHeight="1" spans="1:53">
      <c r="A31" s="44"/>
      <c r="B31" s="44"/>
      <c r="C31" s="44"/>
      <c r="D31" s="44"/>
      <c r="E31" s="44"/>
      <c r="F31" s="44"/>
      <c r="G31" s="44"/>
      <c r="H31" s="44"/>
      <c r="I31" s="44"/>
      <c r="J31" s="44"/>
      <c r="K31" s="44"/>
      <c r="L31" s="1040"/>
      <c r="M31" s="44"/>
      <c r="N31" s="44"/>
      <c r="O31" s="44"/>
      <c r="P31" s="44"/>
      <c r="Q31" s="44"/>
      <c r="S31" s="57" t="s">
        <v>426</v>
      </c>
      <c r="T31" s="57"/>
      <c r="U31" s="1074"/>
      <c r="V31" s="788">
        <f>IF(TITLE_DATE_PR_CHANGE="",IF(TITLE_DATE_PR="","",TITLE_DATE_PR),TITLE_DATE_PR_CHANGE)</f>
        <v>45525</v>
      </c>
      <c r="W31" s="788"/>
      <c r="X31" s="788"/>
      <c r="Y31" s="788"/>
      <c r="Z31" s="788"/>
      <c r="AA31" s="42"/>
      <c r="AB31" s="788">
        <f>IF(TITLE_DATE_PR_CHANGE="",IF(TITLE_DATE_PR="","",TITLE_DATE_PR),TITLE_DATE_PR_CHANGE)</f>
        <v>45525</v>
      </c>
      <c r="AC31" s="788"/>
      <c r="AD31" s="788"/>
      <c r="AE31" s="788"/>
      <c r="AF31" s="788"/>
      <c r="AG31" s="788"/>
      <c r="AH31" s="788"/>
      <c r="AI31" s="788"/>
      <c r="AJ31" s="788"/>
      <c r="AK31" s="788"/>
      <c r="AL31" s="788"/>
      <c r="AM31" s="788"/>
      <c r="AN31" s="788"/>
      <c r="AO31" s="788"/>
      <c r="AP31" s="788"/>
      <c r="AQ31" s="788"/>
      <c r="AR31" s="788"/>
      <c r="AS31" s="42"/>
      <c r="AT31" s="42"/>
      <c r="AU31" s="121"/>
      <c r="AV31" s="150"/>
      <c r="AW31" s="150"/>
      <c r="AX31" s="150"/>
      <c r="AY31" s="150"/>
      <c r="AZ31" s="150"/>
      <c r="BA31" s="35">
        <v>0</v>
      </c>
    </row>
    <row r="32" s="35" customFormat="1" ht="18.75" customHeight="1" spans="1:53">
      <c r="A32" s="44"/>
      <c r="B32" s="44"/>
      <c r="C32" s="44"/>
      <c r="D32" s="44"/>
      <c r="E32" s="44"/>
      <c r="F32" s="44"/>
      <c r="G32" s="44"/>
      <c r="H32" s="44"/>
      <c r="I32" s="44"/>
      <c r="J32" s="44"/>
      <c r="K32" s="44"/>
      <c r="L32" s="1040"/>
      <c r="M32" s="44"/>
      <c r="N32" s="44"/>
      <c r="O32" s="44"/>
      <c r="P32" s="44"/>
      <c r="Q32" s="44"/>
      <c r="S32" s="57" t="s">
        <v>427</v>
      </c>
      <c r="T32" s="57"/>
      <c r="U32" s="1074"/>
      <c r="V32" s="59" t="str">
        <f>IF(TITLE_NUMBER_PR_CHANGE="",IF(TITLE_NUMBER_PR="","",TITLE_NUMBER_PR),TITLE_NUMBER_PR_CHANGE)</f>
        <v>108-73/тп-2024</v>
      </c>
      <c r="W32" s="59"/>
      <c r="X32" s="59"/>
      <c r="Y32" s="59"/>
      <c r="Z32" s="59"/>
      <c r="AA32" s="42"/>
      <c r="AB32" s="59" t="str">
        <f>IF(TITLE_NUMBER_PR_CHANGE="",IF(TITLE_NUMBER_PR="","",TITLE_NUMBER_PR),TITLE_NUMBER_PR_CHANGE)</f>
        <v>108-73/тп-2024</v>
      </c>
      <c r="AC32" s="59"/>
      <c r="AD32" s="59"/>
      <c r="AE32" s="59"/>
      <c r="AF32" s="59"/>
      <c r="AG32" s="59"/>
      <c r="AH32" s="59"/>
      <c r="AI32" s="59"/>
      <c r="AJ32" s="59"/>
      <c r="AK32" s="59"/>
      <c r="AL32" s="59"/>
      <c r="AM32" s="59"/>
      <c r="AN32" s="59"/>
      <c r="AO32" s="59"/>
      <c r="AP32" s="59"/>
      <c r="AQ32" s="59"/>
      <c r="AR32" s="59"/>
      <c r="AS32" s="42"/>
      <c r="AT32" s="42"/>
      <c r="AU32" s="121"/>
      <c r="AV32" s="150"/>
      <c r="AW32" s="150"/>
      <c r="AX32" s="150"/>
      <c r="AY32" s="150"/>
      <c r="AZ32" s="150"/>
      <c r="BA32" s="35">
        <v>0</v>
      </c>
    </row>
    <row r="33" s="35" customFormat="1" ht="18.75" customHeight="1" spans="1:53">
      <c r="A33" s="44"/>
      <c r="B33" s="44"/>
      <c r="C33" s="44"/>
      <c r="D33" s="44"/>
      <c r="E33" s="44"/>
      <c r="F33" s="44"/>
      <c r="G33" s="44"/>
      <c r="H33" s="44"/>
      <c r="I33" s="44"/>
      <c r="J33" s="44"/>
      <c r="K33" s="44"/>
      <c r="L33" s="1040"/>
      <c r="M33" s="44"/>
      <c r="N33" s="44"/>
      <c r="O33" s="44"/>
      <c r="P33" s="44"/>
      <c r="Q33" s="44"/>
      <c r="S33" s="57" t="s">
        <v>44</v>
      </c>
      <c r="T33" s="57"/>
      <c r="U33" s="1074"/>
      <c r="V33" s="59" t="str">
        <f>IF(TITLE_IST_PUB_CHANGE="",IF(TITLE_IST_PUB="","",TITLE_IST_PUB),TITLE_IST_PUB_CHANGE)</f>
        <v>"Официальный портал правовой информации
Республики Татарстан"</v>
      </c>
      <c r="W33" s="59"/>
      <c r="X33" s="59"/>
      <c r="Y33" s="59"/>
      <c r="Z33" s="59"/>
      <c r="AA33" s="42"/>
      <c r="AB33" s="59" t="str">
        <f>IF(TITLE_IST_PUB_CHANGE="",IF(TITLE_IST_PUB="","",TITLE_IST_PUB),TITLE_IST_PUB_CHANGE)</f>
        <v>"Официальный портал правовой информации
Республики Татарстан"</v>
      </c>
      <c r="AC33" s="59"/>
      <c r="AD33" s="59"/>
      <c r="AE33" s="59"/>
      <c r="AF33" s="59"/>
      <c r="AG33" s="59"/>
      <c r="AH33" s="59"/>
      <c r="AI33" s="59"/>
      <c r="AJ33" s="59"/>
      <c r="AK33" s="59"/>
      <c r="AL33" s="59"/>
      <c r="AM33" s="59"/>
      <c r="AN33" s="59"/>
      <c r="AO33" s="59"/>
      <c r="AP33" s="59"/>
      <c r="AQ33" s="59"/>
      <c r="AR33" s="59"/>
      <c r="AS33" s="42"/>
      <c r="AT33" s="42"/>
      <c r="AU33" s="121"/>
      <c r="AV33" s="150"/>
      <c r="AW33" s="150"/>
      <c r="AX33" s="150"/>
      <c r="AY33" s="150"/>
      <c r="AZ33" s="150"/>
      <c r="BA33" s="35">
        <v>0</v>
      </c>
    </row>
    <row r="34" hidden="1" customHeight="1" spans="17:53">
      <c r="Q34" s="1073"/>
      <c r="R34" s="50"/>
      <c r="S34" s="51"/>
      <c r="T34" s="52"/>
      <c r="U34" s="52"/>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BA34" s="42">
        <v>0</v>
      </c>
    </row>
    <row r="35" s="35" customFormat="1" ht="18.75" hidden="1" customHeight="1" spans="1:53">
      <c r="A35" s="44"/>
      <c r="B35" s="44"/>
      <c r="C35" s="44"/>
      <c r="D35" s="44"/>
      <c r="E35" s="44"/>
      <c r="F35" s="44"/>
      <c r="G35" s="44"/>
      <c r="H35" s="44"/>
      <c r="I35" s="44"/>
      <c r="J35" s="44"/>
      <c r="K35" s="44"/>
      <c r="L35" s="1040"/>
      <c r="M35" s="44"/>
      <c r="N35" s="44"/>
      <c r="O35" s="44"/>
      <c r="P35" s="44"/>
      <c r="Q35" s="44"/>
      <c r="S35" s="57" t="s">
        <v>426</v>
      </c>
      <c r="T35" s="57"/>
      <c r="U35" s="1074"/>
      <c r="V35" s="788">
        <f>IF(TITLE_DATE_PR_CHANGE="",IF(TITLE_DATE_PR="","",TITLE_DATE_PR),TITLE_DATE_PR_CHANGE)</f>
        <v>45525</v>
      </c>
      <c r="W35" s="788"/>
      <c r="X35" s="788"/>
      <c r="Y35" s="788"/>
      <c r="Z35" s="788"/>
      <c r="AA35" s="42"/>
      <c r="AB35" s="788">
        <f>IF(TITLE_DATE_PR_CHANGE="",IF(TITLE_DATE_PR="","",TITLE_DATE_PR),TITLE_DATE_PR_CHANGE)</f>
        <v>45525</v>
      </c>
      <c r="AC35" s="788"/>
      <c r="AD35" s="788"/>
      <c r="AE35" s="788"/>
      <c r="AF35" s="788"/>
      <c r="AG35" s="788"/>
      <c r="AH35" s="788"/>
      <c r="AI35" s="788"/>
      <c r="AJ35" s="788"/>
      <c r="AK35" s="788"/>
      <c r="AL35" s="788"/>
      <c r="AM35" s="788"/>
      <c r="AN35" s="788"/>
      <c r="AO35" s="788"/>
      <c r="AP35" s="788"/>
      <c r="AQ35" s="788"/>
      <c r="AR35" s="788"/>
      <c r="AS35" s="42"/>
      <c r="AT35" s="42"/>
      <c r="AU35" s="121"/>
      <c r="AV35" s="150"/>
      <c r="AW35" s="150"/>
      <c r="AX35" s="150"/>
      <c r="AY35" s="150"/>
      <c r="AZ35" s="150"/>
      <c r="BA35" s="35">
        <v>0</v>
      </c>
    </row>
    <row r="36" s="35" customFormat="1" ht="18" hidden="1" customHeight="1" spans="1:53">
      <c r="A36" s="44"/>
      <c r="B36" s="44"/>
      <c r="C36" s="44"/>
      <c r="D36" s="44"/>
      <c r="E36" s="44"/>
      <c r="F36" s="44"/>
      <c r="G36" s="44"/>
      <c r="H36" s="44"/>
      <c r="I36" s="44"/>
      <c r="J36" s="44"/>
      <c r="K36" s="44"/>
      <c r="L36" s="1040"/>
      <c r="M36" s="44"/>
      <c r="N36" s="44"/>
      <c r="O36" s="44"/>
      <c r="P36" s="44"/>
      <c r="Q36" s="44"/>
      <c r="S36" s="57" t="s">
        <v>427</v>
      </c>
      <c r="T36" s="57"/>
      <c r="U36" s="1074"/>
      <c r="V36" s="59" t="str">
        <f>IF(TITLE_NUMBER_PR_CHANGE="",IF(TITLE_NUMBER_PR="","",TITLE_NUMBER_PR),TITLE_NUMBER_PR_CHANGE)</f>
        <v>108-73/тп-2024</v>
      </c>
      <c r="W36" s="59"/>
      <c r="X36" s="59"/>
      <c r="Y36" s="59"/>
      <c r="Z36" s="59"/>
      <c r="AA36" s="42"/>
      <c r="AB36" s="59" t="str">
        <f>IF(TITLE_NUMBER_PR_CHANGE="",IF(TITLE_NUMBER_PR="","",TITLE_NUMBER_PR),TITLE_NUMBER_PR_CHANGE)</f>
        <v>108-73/тп-2024</v>
      </c>
      <c r="AC36" s="59"/>
      <c r="AD36" s="59"/>
      <c r="AE36" s="59"/>
      <c r="AF36" s="59"/>
      <c r="AG36" s="59"/>
      <c r="AH36" s="59"/>
      <c r="AI36" s="59"/>
      <c r="AJ36" s="59"/>
      <c r="AK36" s="59"/>
      <c r="AL36" s="59"/>
      <c r="AM36" s="59"/>
      <c r="AN36" s="59"/>
      <c r="AO36" s="59"/>
      <c r="AP36" s="59"/>
      <c r="AQ36" s="59"/>
      <c r="AR36" s="59"/>
      <c r="AS36" s="42"/>
      <c r="AT36" s="42"/>
      <c r="AU36" s="121"/>
      <c r="AV36" s="150"/>
      <c r="AW36" s="150"/>
      <c r="AX36" s="150"/>
      <c r="AY36" s="150"/>
      <c r="AZ36" s="150"/>
      <c r="BA36" s="35">
        <v>0</v>
      </c>
    </row>
    <row r="37" s="35" customFormat="1" ht="1.05" customHeight="1" spans="1:53">
      <c r="A37" s="44"/>
      <c r="B37" s="44"/>
      <c r="C37" s="44"/>
      <c r="D37" s="44"/>
      <c r="E37" s="44"/>
      <c r="F37" s="44"/>
      <c r="G37" s="44"/>
      <c r="H37" s="44"/>
      <c r="I37" s="44"/>
      <c r="J37" s="44"/>
      <c r="K37" s="44"/>
      <c r="L37" s="1040"/>
      <c r="M37" s="44"/>
      <c r="N37" s="44"/>
      <c r="O37" s="44"/>
      <c r="P37" s="44"/>
      <c r="Q37" s="44"/>
      <c r="S37" s="42"/>
      <c r="T37" s="42"/>
      <c r="U37" s="60"/>
      <c r="V37" s="42"/>
      <c r="W37" s="42"/>
      <c r="X37" s="42"/>
      <c r="Y37" s="42"/>
      <c r="Z37" s="42"/>
      <c r="AA37" s="43" t="s">
        <v>430</v>
      </c>
      <c r="AB37" s="42"/>
      <c r="AC37" s="42"/>
      <c r="AD37" s="42"/>
      <c r="AE37" s="42"/>
      <c r="AF37" s="42"/>
      <c r="AG37" s="42"/>
      <c r="AH37" s="42"/>
      <c r="AI37" s="42"/>
      <c r="AJ37" s="42"/>
      <c r="AK37" s="42"/>
      <c r="AL37" s="42"/>
      <c r="AM37" s="42"/>
      <c r="AN37" s="42"/>
      <c r="AO37" s="42"/>
      <c r="AP37" s="42"/>
      <c r="AQ37" s="42"/>
      <c r="AR37" s="42"/>
      <c r="AS37" s="43" t="s">
        <v>430</v>
      </c>
      <c r="AV37" s="150"/>
      <c r="AW37" s="150"/>
      <c r="AX37" s="150"/>
      <c r="AY37" s="150"/>
      <c r="AZ37" s="150"/>
      <c r="BA37" s="35">
        <v>1</v>
      </c>
    </row>
    <row r="38" ht="14.7" customHeight="1" spans="17:53">
      <c r="Q38" s="1073"/>
      <c r="R38" s="50"/>
      <c r="S38" s="51"/>
      <c r="T38" s="52"/>
      <c r="U38" s="61"/>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BA38" s="42">
        <v>14</v>
      </c>
    </row>
    <row r="39" ht="14.7" customHeight="1" spans="17:53">
      <c r="Q39" s="1073"/>
      <c r="R39" s="50"/>
      <c r="S39" s="63" t="s">
        <v>305</v>
      </c>
      <c r="T39" s="63"/>
      <c r="U39" s="63"/>
      <c r="V39" s="63"/>
      <c r="W39" s="63"/>
      <c r="X39" s="63"/>
      <c r="Y39" s="63"/>
      <c r="Z39" s="63"/>
      <c r="AA39" s="63"/>
      <c r="AB39" s="70"/>
      <c r="AC39" s="70"/>
      <c r="AD39" s="70"/>
      <c r="AE39" s="70"/>
      <c r="AF39" s="63"/>
      <c r="AG39" s="63"/>
      <c r="AH39" s="63"/>
      <c r="AI39" s="63"/>
      <c r="AJ39" s="63"/>
      <c r="AK39" s="63"/>
      <c r="AL39" s="63"/>
      <c r="AM39" s="63"/>
      <c r="AN39" s="63"/>
      <c r="AO39" s="63"/>
      <c r="AP39" s="63"/>
      <c r="AQ39" s="63"/>
      <c r="AR39" s="63"/>
      <c r="AS39" s="63"/>
      <c r="AT39" s="63"/>
      <c r="AU39" s="63" t="s">
        <v>306</v>
      </c>
      <c r="BA39" s="42">
        <v>14</v>
      </c>
    </row>
    <row r="40" ht="14.7" customHeight="1" spans="17:53">
      <c r="Q40" s="1073"/>
      <c r="R40" s="50"/>
      <c r="S40" s="64" t="s">
        <v>89</v>
      </c>
      <c r="T40" s="65" t="s">
        <v>475</v>
      </c>
      <c r="U40" s="66"/>
      <c r="V40" s="68"/>
      <c r="W40" s="68"/>
      <c r="X40" s="68"/>
      <c r="Y40" s="68"/>
      <c r="Z40" s="122"/>
      <c r="AA40" s="843" t="s">
        <v>433</v>
      </c>
      <c r="AB40" s="902" t="s">
        <v>476</v>
      </c>
      <c r="AC40" s="1085"/>
      <c r="AD40" s="1085"/>
      <c r="AE40" s="1097"/>
      <c r="AF40" s="1085" t="s">
        <v>477</v>
      </c>
      <c r="AG40" s="1085"/>
      <c r="AH40" s="1085"/>
      <c r="AI40" s="1097"/>
      <c r="AJ40" s="902" t="s">
        <v>478</v>
      </c>
      <c r="AK40" s="1085"/>
      <c r="AL40" s="1085"/>
      <c r="AM40" s="1097"/>
      <c r="AN40" s="902" t="s">
        <v>432</v>
      </c>
      <c r="AO40" s="1085"/>
      <c r="AP40" s="68"/>
      <c r="AQ40" s="68"/>
      <c r="AR40" s="122"/>
      <c r="AS40" s="123" t="s">
        <v>433</v>
      </c>
      <c r="AT40" s="124" t="s">
        <v>435</v>
      </c>
      <c r="AU40" s="63"/>
      <c r="BA40" s="42">
        <v>14</v>
      </c>
    </row>
    <row r="41" ht="35.7" customHeight="1" spans="17:53">
      <c r="Q41" s="1073"/>
      <c r="R41" s="50"/>
      <c r="S41" s="64"/>
      <c r="T41" s="65"/>
      <c r="U41" s="69"/>
      <c r="V41" s="63" t="s">
        <v>479</v>
      </c>
      <c r="W41" s="63"/>
      <c r="X41" s="892" t="s">
        <v>439</v>
      </c>
      <c r="Y41" s="1086"/>
      <c r="Z41" s="893"/>
      <c r="AA41" s="848"/>
      <c r="AB41" s="1087"/>
      <c r="AC41" s="1088"/>
      <c r="AD41" s="1088"/>
      <c r="AE41" s="1098"/>
      <c r="AF41" s="1088"/>
      <c r="AG41" s="1088"/>
      <c r="AH41" s="1088"/>
      <c r="AI41" s="1098"/>
      <c r="AJ41" s="1087"/>
      <c r="AK41" s="1088"/>
      <c r="AL41" s="1088"/>
      <c r="AM41" s="1088"/>
      <c r="AN41" s="63" t="s">
        <v>479</v>
      </c>
      <c r="AO41" s="63"/>
      <c r="AP41" s="1086" t="s">
        <v>439</v>
      </c>
      <c r="AQ41" s="1086"/>
      <c r="AR41" s="893"/>
      <c r="AS41" s="128"/>
      <c r="AT41" s="129"/>
      <c r="AU41" s="63"/>
      <c r="BA41" s="42">
        <v>34</v>
      </c>
    </row>
    <row r="42" ht="14.7" customHeight="1" spans="17:53">
      <c r="Q42" s="1073"/>
      <c r="R42" s="50"/>
      <c r="S42" s="64"/>
      <c r="T42" s="65"/>
      <c r="U42" s="69"/>
      <c r="V42" s="1138" t="str">
        <f>IF($AN$42&lt;&gt;"",$AN$42,"")</f>
        <v/>
      </c>
      <c r="W42" s="1138"/>
      <c r="X42" s="896"/>
      <c r="Y42" s="1089"/>
      <c r="Z42" s="897"/>
      <c r="AA42" s="848"/>
      <c r="AB42" s="1087"/>
      <c r="AC42" s="1088"/>
      <c r="AD42" s="1088"/>
      <c r="AE42" s="1098"/>
      <c r="AF42" s="1088"/>
      <c r="AG42" s="1088"/>
      <c r="AH42" s="1088"/>
      <c r="AI42" s="1098"/>
      <c r="AJ42" s="1087"/>
      <c r="AK42" s="1088"/>
      <c r="AL42" s="1088"/>
      <c r="AM42" s="1088"/>
      <c r="AN42" s="652"/>
      <c r="AO42" s="652"/>
      <c r="AP42" s="1089"/>
      <c r="AQ42" s="1089"/>
      <c r="AR42" s="897"/>
      <c r="AS42" s="128"/>
      <c r="AT42" s="129"/>
      <c r="AU42" s="63"/>
      <c r="BA42" s="42">
        <v>14</v>
      </c>
    </row>
    <row r="43" ht="14.7" customHeight="1" spans="1:53">
      <c r="A43" s="44"/>
      <c r="B43" s="44" t="s">
        <v>137</v>
      </c>
      <c r="C43" s="44" t="s">
        <v>138</v>
      </c>
      <c r="D43" s="44" t="s">
        <v>139</v>
      </c>
      <c r="E43" s="1040" t="s">
        <v>440</v>
      </c>
      <c r="F43" s="1040" t="s">
        <v>441</v>
      </c>
      <c r="G43" s="1040" t="s">
        <v>442</v>
      </c>
      <c r="H43" s="1040" t="s">
        <v>443</v>
      </c>
      <c r="I43" s="1040" t="s">
        <v>444</v>
      </c>
      <c r="J43" s="1040" t="s">
        <v>445</v>
      </c>
      <c r="K43" s="1040" t="s">
        <v>446</v>
      </c>
      <c r="L43" s="1040" t="s">
        <v>421</v>
      </c>
      <c r="Q43" s="1073"/>
      <c r="R43" s="50"/>
      <c r="S43" s="64"/>
      <c r="T43" s="65"/>
      <c r="U43" s="71"/>
      <c r="V43" s="65" t="s">
        <v>480</v>
      </c>
      <c r="W43" s="65" t="s">
        <v>481</v>
      </c>
      <c r="X43" s="130" t="s">
        <v>449</v>
      </c>
      <c r="Y43" s="131" t="s">
        <v>450</v>
      </c>
      <c r="Z43" s="132"/>
      <c r="AA43" s="845"/>
      <c r="AB43" s="1090"/>
      <c r="AC43" s="1091"/>
      <c r="AD43" s="1091"/>
      <c r="AE43" s="1099"/>
      <c r="AF43" s="1091"/>
      <c r="AG43" s="1091"/>
      <c r="AH43" s="1091"/>
      <c r="AI43" s="1099"/>
      <c r="AJ43" s="1090"/>
      <c r="AK43" s="1091"/>
      <c r="AL43" s="1091"/>
      <c r="AM43" s="1099"/>
      <c r="AN43" s="133" t="s">
        <v>480</v>
      </c>
      <c r="AO43" s="133" t="s">
        <v>481</v>
      </c>
      <c r="AP43" s="130" t="s">
        <v>449</v>
      </c>
      <c r="AQ43" s="131" t="s">
        <v>450</v>
      </c>
      <c r="AR43" s="132"/>
      <c r="AS43" s="133"/>
      <c r="AT43" s="134"/>
      <c r="AU43" s="63"/>
      <c r="BA43" s="42">
        <v>14</v>
      </c>
    </row>
    <row r="44" s="36" customFormat="1" ht="11.25" hidden="1" customHeight="1" spans="1:53">
      <c r="A44" s="44"/>
      <c r="B44" s="44"/>
      <c r="C44" s="44"/>
      <c r="D44" s="44"/>
      <c r="E44" s="44"/>
      <c r="F44" s="44"/>
      <c r="G44" s="44"/>
      <c r="H44" s="44"/>
      <c r="I44" s="44"/>
      <c r="J44" s="44"/>
      <c r="K44" s="44"/>
      <c r="L44" s="1040"/>
      <c r="M44" s="38"/>
      <c r="N44" s="38"/>
      <c r="O44" s="38"/>
      <c r="P44" s="1043"/>
      <c r="Q44" s="75"/>
      <c r="R44" s="75">
        <v>1</v>
      </c>
      <c r="S44" s="76" t="s">
        <v>111</v>
      </c>
      <c r="T44" s="77" t="s">
        <v>112</v>
      </c>
      <c r="U44" s="78" t="str">
        <f ca="1">OFFSET(U44,0,-1)</f>
        <v>2</v>
      </c>
      <c r="V44" s="79">
        <f ca="1">OFFSET(V44,0,-1)+1</f>
        <v>3</v>
      </c>
      <c r="W44" s="79">
        <f ca="1">OFFSET(W44,0,-1)+1</f>
        <v>4</v>
      </c>
      <c r="X44" s="79">
        <f ca="1">OFFSET(X44,0,-1)+1</f>
        <v>5</v>
      </c>
      <c r="Y44" s="79">
        <f ca="1">OFFSET(Y44,0,-1)+1</f>
        <v>6</v>
      </c>
      <c r="Z44" s="79"/>
      <c r="AA44" s="79">
        <f ca="1">OFFSET(AA44,0,-2)+1</f>
        <v>7</v>
      </c>
      <c r="AB44" s="1128">
        <f ca="1">OFFSET(AB44,0,-1)+1</f>
        <v>8</v>
      </c>
      <c r="AC44" s="1128"/>
      <c r="AD44" s="1128"/>
      <c r="AE44" s="1128"/>
      <c r="AF44" s="79"/>
      <c r="AG44" s="79"/>
      <c r="AH44" s="79"/>
      <c r="AI44" s="79"/>
      <c r="AJ44" s="79"/>
      <c r="AK44" s="79"/>
      <c r="AL44" s="79"/>
      <c r="AM44" s="79"/>
      <c r="AN44" s="79">
        <f ca="1">OFFSET(AN44,0,-1)+1</f>
        <v>1</v>
      </c>
      <c r="AO44" s="79">
        <f ca="1">OFFSET(AO44,0,-1)+1</f>
        <v>2</v>
      </c>
      <c r="AP44" s="79">
        <f ca="1">OFFSET(AP44,0,-1)+1</f>
        <v>3</v>
      </c>
      <c r="AQ44" s="79">
        <f ca="1">OFFSET(AQ44,0,-1)+1</f>
        <v>4</v>
      </c>
      <c r="AR44" s="79"/>
      <c r="AS44" s="79">
        <f ca="1">OFFSET(AS44,0,-2)+1</f>
        <v>5</v>
      </c>
      <c r="AT44" s="78">
        <f ca="1">OFFSET(AT44,0,-1)</f>
        <v>5</v>
      </c>
      <c r="AU44" s="79">
        <f ca="1">OFFSET(AU44,0,-1)+1</f>
        <v>6</v>
      </c>
      <c r="AV44" s="43"/>
      <c r="AW44" s="43"/>
      <c r="AX44" s="43"/>
      <c r="AY44" s="43"/>
      <c r="AZ44" s="43"/>
      <c r="BA44" s="36">
        <v>0</v>
      </c>
    </row>
    <row r="45" ht="107.25" customHeight="1" spans="1:53">
      <c r="A45" s="45" t="s">
        <v>200</v>
      </c>
      <c r="B45" s="45"/>
      <c r="C45" s="45"/>
      <c r="D45" s="45"/>
      <c r="E45" s="1038">
        <v>1</v>
      </c>
      <c r="F45" s="45"/>
      <c r="G45" s="45"/>
      <c r="H45" s="45"/>
      <c r="I45" s="45"/>
      <c r="J45" s="45"/>
      <c r="K45" s="45"/>
      <c r="L45" s="1040"/>
      <c r="M45" s="46"/>
      <c r="N45" s="46"/>
      <c r="O45" s="46"/>
      <c r="Q45" s="263"/>
      <c r="R45" s="81"/>
      <c r="S45" s="64">
        <f>INDEX(PT_DIFFERENTIATION_NUM_NTAR,MATCH(A45,PT_DIFFERENTIATION_NTAR_ID,0))</f>
        <v>0</v>
      </c>
      <c r="T45" s="82" t="s">
        <v>125</v>
      </c>
      <c r="U45" s="83"/>
      <c r="V45" s="1047"/>
      <c r="W45" s="1047"/>
      <c r="X45" s="1047"/>
      <c r="Y45" s="1047"/>
      <c r="Z45" s="1047"/>
      <c r="AA45" s="1075"/>
      <c r="AB45" s="1076" t="str">
        <f>INDEX(PT_DIFFERENTIATION_NTAR,MATCH(A45,PT_DIFFERENTIATION_NTAR_ID,0))</f>
        <v/>
      </c>
      <c r="AC45" s="1047"/>
      <c r="AD45" s="1047"/>
      <c r="AE45" s="1047"/>
      <c r="AF45" s="1047"/>
      <c r="AG45" s="1047"/>
      <c r="AH45" s="1047"/>
      <c r="AI45" s="1047"/>
      <c r="AJ45" s="1047"/>
      <c r="AK45" s="1047"/>
      <c r="AL45" s="1047"/>
      <c r="AM45" s="1047"/>
      <c r="AN45" s="1047"/>
      <c r="AO45" s="1047"/>
      <c r="AP45" s="1047"/>
      <c r="AQ45" s="1047"/>
      <c r="AR45" s="1047"/>
      <c r="AS45" s="1047"/>
      <c r="AT45" s="1075"/>
      <c r="AU45" s="13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150"/>
      <c r="AX45" s="150" t="str">
        <f t="shared" ref="AX45:AX51" si="2">IF(T45="","",T45)</f>
        <v>Наименование тарифа</v>
      </c>
      <c r="AY45" s="150"/>
      <c r="AZ45" s="150"/>
      <c r="BA45" s="42">
        <v>102</v>
      </c>
    </row>
    <row r="46" ht="22.05" customHeight="1" spans="1:53">
      <c r="A46" s="45" t="s">
        <v>200</v>
      </c>
      <c r="B46" s="45" t="s">
        <v>201</v>
      </c>
      <c r="C46" s="45"/>
      <c r="D46" s="45"/>
      <c r="E46" s="1039"/>
      <c r="F46" s="1038">
        <v>1</v>
      </c>
      <c r="G46" s="45"/>
      <c r="H46" s="45"/>
      <c r="I46" s="45"/>
      <c r="J46" s="45"/>
      <c r="K46" s="45"/>
      <c r="L46" s="1040"/>
      <c r="M46" s="46"/>
      <c r="N46" s="46"/>
      <c r="O46" s="46"/>
      <c r="P46" s="47"/>
      <c r="Q46" s="1048"/>
      <c r="R46" s="87"/>
      <c r="S46" s="64" t="str">
        <f>INDEX(PT_DIFFERENTIATION_NUM_TER,MATCH(B46,PT_DIFFERENTIATION_TER_ID,0))</f>
        <v>.</v>
      </c>
      <c r="T46" s="88" t="s">
        <v>402</v>
      </c>
      <c r="U46" s="83"/>
      <c r="V46" s="1047"/>
      <c r="W46" s="1047"/>
      <c r="X46" s="1047"/>
      <c r="Y46" s="1047"/>
      <c r="Z46" s="1047"/>
      <c r="AA46" s="1075"/>
      <c r="AB46" s="1076" t="str">
        <f>INDEX(PT_DIFFERENTIATION_TER,MATCH(B46,PT_DIFFERENTIATION_TER_ID,0))</f>
        <v/>
      </c>
      <c r="AC46" s="1047"/>
      <c r="AD46" s="1047"/>
      <c r="AE46" s="1047"/>
      <c r="AF46" s="1047"/>
      <c r="AG46" s="1047"/>
      <c r="AH46" s="1047"/>
      <c r="AI46" s="1047"/>
      <c r="AJ46" s="1047"/>
      <c r="AK46" s="1047"/>
      <c r="AL46" s="1047"/>
      <c r="AM46" s="1047"/>
      <c r="AN46" s="1047"/>
      <c r="AO46" s="1047"/>
      <c r="AP46" s="1047"/>
      <c r="AQ46" s="1047"/>
      <c r="AR46" s="1047"/>
      <c r="AS46" s="1047"/>
      <c r="AT46" s="1075"/>
      <c r="AU46" s="135" t="s">
        <v>403</v>
      </c>
      <c r="AW46" s="150"/>
      <c r="AX46" s="150" t="str">
        <f t="shared" si="2"/>
        <v>Территория действия тарифа</v>
      </c>
      <c r="AY46" s="150"/>
      <c r="AZ46" s="150"/>
      <c r="BA46" s="42">
        <v>21</v>
      </c>
    </row>
    <row r="47" ht="24" customHeight="1" spans="1:53">
      <c r="A47" s="45" t="s">
        <v>200</v>
      </c>
      <c r="B47" s="45" t="s">
        <v>201</v>
      </c>
      <c r="C47" s="45" t="s">
        <v>202</v>
      </c>
      <c r="D47" s="45"/>
      <c r="E47" s="1039"/>
      <c r="F47" s="1039"/>
      <c r="G47" s="1038">
        <v>1</v>
      </c>
      <c r="H47" s="45"/>
      <c r="I47" s="45"/>
      <c r="J47" s="45"/>
      <c r="K47" s="45"/>
      <c r="L47" s="1040"/>
      <c r="M47" s="46"/>
      <c r="N47" s="46"/>
      <c r="O47" s="46"/>
      <c r="P47" s="1041"/>
      <c r="Q47" s="1048"/>
      <c r="R47" s="87"/>
      <c r="S47" s="64" t="str">
        <f>INDEX(PT_DIFFERENTIATION_NUM_CS,MATCH(C47,PT_DIFFERENTIATION_CS_ID,0))</f>
        <v>..</v>
      </c>
      <c r="T47" s="90" t="s">
        <v>404</v>
      </c>
      <c r="U47" s="83"/>
      <c r="V47" s="1047"/>
      <c r="W47" s="1047"/>
      <c r="X47" s="1047"/>
      <c r="Y47" s="1047"/>
      <c r="Z47" s="1047"/>
      <c r="AA47" s="1075"/>
      <c r="AB47" s="1076" t="str">
        <f>INDEX(PT_DIFFERENTIATION_CS,MATCH(C47,PT_DIFFERENTIATION_CS_ID,0))</f>
        <v/>
      </c>
      <c r="AC47" s="1047"/>
      <c r="AD47" s="1047"/>
      <c r="AE47" s="1047"/>
      <c r="AF47" s="1047"/>
      <c r="AG47" s="1047"/>
      <c r="AH47" s="1047"/>
      <c r="AI47" s="1047"/>
      <c r="AJ47" s="1047"/>
      <c r="AK47" s="1047"/>
      <c r="AL47" s="1047"/>
      <c r="AM47" s="1047"/>
      <c r="AN47" s="1047"/>
      <c r="AO47" s="1047"/>
      <c r="AP47" s="1047"/>
      <c r="AQ47" s="1047"/>
      <c r="AR47" s="1047"/>
      <c r="AS47" s="1047"/>
      <c r="AT47" s="1075"/>
      <c r="AU47" s="135" t="s">
        <v>405</v>
      </c>
      <c r="AW47" s="150"/>
      <c r="AX47" s="150" t="str">
        <f t="shared" si="2"/>
        <v>Наименование системы теплоснабжения </v>
      </c>
      <c r="AY47" s="150"/>
      <c r="AZ47" s="150"/>
      <c r="BA47" s="42">
        <v>23</v>
      </c>
    </row>
    <row r="48" ht="21" customHeight="1" spans="1:53">
      <c r="A48" s="45" t="s">
        <v>200</v>
      </c>
      <c r="B48" s="45" t="s">
        <v>201</v>
      </c>
      <c r="C48" s="45" t="s">
        <v>202</v>
      </c>
      <c r="D48" s="45" t="s">
        <v>203</v>
      </c>
      <c r="E48" s="1039"/>
      <c r="F48" s="1039"/>
      <c r="G48" s="1039"/>
      <c r="H48" s="1038">
        <v>1</v>
      </c>
      <c r="I48" s="45"/>
      <c r="J48" s="45"/>
      <c r="K48" s="45"/>
      <c r="L48" s="1040"/>
      <c r="M48" s="46"/>
      <c r="N48" s="46"/>
      <c r="O48" s="46"/>
      <c r="P48" s="1041"/>
      <c r="Q48" s="1048"/>
      <c r="R48" s="87"/>
      <c r="S48" s="64" t="str">
        <f>INDEX(PT_DIFFERENTIATION_NUM_IST_TE,MATCH(D48,PT_DIFFERENTIATION_IST_TE_ID,0))</f>
        <v>...</v>
      </c>
      <c r="T48" s="91" t="s">
        <v>406</v>
      </c>
      <c r="U48" s="83"/>
      <c r="V48" s="1047"/>
      <c r="W48" s="1047"/>
      <c r="X48" s="1047"/>
      <c r="Y48" s="1047"/>
      <c r="Z48" s="1047"/>
      <c r="AA48" s="1075"/>
      <c r="AB48" s="1076" t="str">
        <f>INDEX(PT_DIFFERENTIATION_IST_TE,MATCH(D48,PT_DIFFERENTIATION_IST_TE_ID,0))</f>
        <v/>
      </c>
      <c r="AC48" s="1047"/>
      <c r="AD48" s="1047"/>
      <c r="AE48" s="1047"/>
      <c r="AF48" s="1047"/>
      <c r="AG48" s="1047"/>
      <c r="AH48" s="1047"/>
      <c r="AI48" s="1047"/>
      <c r="AJ48" s="1047"/>
      <c r="AK48" s="1047"/>
      <c r="AL48" s="1047"/>
      <c r="AM48" s="1047"/>
      <c r="AN48" s="1047"/>
      <c r="AO48" s="1047"/>
      <c r="AP48" s="1047"/>
      <c r="AQ48" s="1047"/>
      <c r="AR48" s="1047"/>
      <c r="AS48" s="1047"/>
      <c r="AT48" s="1075"/>
      <c r="AU48" s="135" t="s">
        <v>407</v>
      </c>
      <c r="AW48" s="150"/>
      <c r="AX48" s="150" t="str">
        <f t="shared" si="2"/>
        <v>Источник тепловой энергии  </v>
      </c>
      <c r="AY48" s="150"/>
      <c r="AZ48" s="150"/>
      <c r="BA48" s="42">
        <v>20</v>
      </c>
    </row>
    <row r="49" s="43" customFormat="1" ht="1.05" customHeight="1" spans="1:53">
      <c r="A49" s="587" t="s">
        <v>200</v>
      </c>
      <c r="B49" s="587" t="s">
        <v>201</v>
      </c>
      <c r="C49" s="587" t="s">
        <v>202</v>
      </c>
      <c r="D49" s="587" t="s">
        <v>203</v>
      </c>
      <c r="E49" s="1039"/>
      <c r="F49" s="1039"/>
      <c r="G49" s="1039"/>
      <c r="H49" s="1039"/>
      <c r="I49" s="228" t="str">
        <f>S48&amp;".1"</f>
        <v>....1</v>
      </c>
      <c r="J49" s="587"/>
      <c r="K49" s="587"/>
      <c r="L49" s="608" t="s">
        <v>408</v>
      </c>
      <c r="M49" s="1043"/>
      <c r="N49" s="1043"/>
      <c r="O49" s="1043"/>
      <c r="P49" s="92">
        <v>1</v>
      </c>
      <c r="Q49" s="92"/>
      <c r="R49" s="93"/>
      <c r="S49" s="329"/>
      <c r="T49" s="1053"/>
      <c r="U49" s="1051"/>
      <c r="V49" s="1052"/>
      <c r="W49" s="1052"/>
      <c r="X49" s="1052"/>
      <c r="Y49" s="1052"/>
      <c r="Z49" s="1052"/>
      <c r="AA49" s="1077"/>
      <c r="AB49" s="1078"/>
      <c r="AC49" s="1052"/>
      <c r="AD49" s="1052"/>
      <c r="AE49" s="1052"/>
      <c r="AF49" s="1052"/>
      <c r="AG49" s="1052"/>
      <c r="AH49" s="1052"/>
      <c r="AI49" s="1052"/>
      <c r="AJ49" s="1052"/>
      <c r="AK49" s="1052"/>
      <c r="AL49" s="1052"/>
      <c r="AM49" s="1052"/>
      <c r="AN49" s="1052"/>
      <c r="AO49" s="1052"/>
      <c r="AP49" s="1052"/>
      <c r="AQ49" s="1052"/>
      <c r="AR49" s="1052"/>
      <c r="AS49" s="1052"/>
      <c r="AT49" s="1077"/>
      <c r="AU49" s="981"/>
      <c r="AW49" s="150"/>
      <c r="AX49" s="150" t="str">
        <f t="shared" si="2"/>
        <v/>
      </c>
      <c r="AY49" s="150"/>
      <c r="AZ49" s="150"/>
      <c r="BA49" s="43">
        <v>1</v>
      </c>
    </row>
    <row r="50" s="43" customFormat="1" ht="1.05" customHeight="1" spans="1:53">
      <c r="A50" s="587" t="s">
        <v>200</v>
      </c>
      <c r="B50" s="587" t="s">
        <v>201</v>
      </c>
      <c r="C50" s="587" t="s">
        <v>202</v>
      </c>
      <c r="D50" s="587" t="s">
        <v>203</v>
      </c>
      <c r="E50" s="1039"/>
      <c r="F50" s="1039"/>
      <c r="G50" s="1039"/>
      <c r="H50" s="1039"/>
      <c r="I50" s="1044"/>
      <c r="J50" s="228" t="str">
        <f>S48&amp;".1"</f>
        <v>....1</v>
      </c>
      <c r="K50" s="587"/>
      <c r="L50" s="608"/>
      <c r="M50" s="1043"/>
      <c r="N50" s="1043"/>
      <c r="O50" s="1043"/>
      <c r="P50" s="92"/>
      <c r="Q50" s="92">
        <v>1</v>
      </c>
      <c r="R50" s="96"/>
      <c r="S50" s="329"/>
      <c r="T50" s="1054"/>
      <c r="U50" s="1051"/>
      <c r="V50" s="1052"/>
      <c r="W50" s="1052"/>
      <c r="X50" s="1052"/>
      <c r="Y50" s="1052"/>
      <c r="Z50" s="1052"/>
      <c r="AA50" s="1077"/>
      <c r="AB50" s="1078"/>
      <c r="AC50" s="1052"/>
      <c r="AD50" s="1052"/>
      <c r="AE50" s="1052"/>
      <c r="AF50" s="1052"/>
      <c r="AG50" s="1052"/>
      <c r="AH50" s="1052"/>
      <c r="AI50" s="1052"/>
      <c r="AJ50" s="1052"/>
      <c r="AK50" s="1052"/>
      <c r="AL50" s="1052"/>
      <c r="AM50" s="1052"/>
      <c r="AN50" s="1052"/>
      <c r="AO50" s="1052"/>
      <c r="AP50" s="1052"/>
      <c r="AQ50" s="1052"/>
      <c r="AR50" s="1052"/>
      <c r="AS50" s="1052"/>
      <c r="AT50" s="1077"/>
      <c r="AU50" s="981"/>
      <c r="AW50" s="150"/>
      <c r="AX50" s="150" t="str">
        <f t="shared" si="2"/>
        <v/>
      </c>
      <c r="AY50" s="150"/>
      <c r="AZ50" s="150"/>
      <c r="BA50" s="43">
        <v>1</v>
      </c>
    </row>
    <row r="51" ht="22.05" customHeight="1" spans="1:53">
      <c r="A51" s="45" t="s">
        <v>200</v>
      </c>
      <c r="B51" s="45" t="s">
        <v>201</v>
      </c>
      <c r="C51" s="45" t="s">
        <v>202</v>
      </c>
      <c r="D51" s="45" t="s">
        <v>203</v>
      </c>
      <c r="E51" s="1039"/>
      <c r="F51" s="1039"/>
      <c r="G51" s="1039"/>
      <c r="H51" s="1039"/>
      <c r="I51" s="1044"/>
      <c r="J51" s="1044"/>
      <c r="K51" s="228" t="str">
        <f>S48&amp;".1"</f>
        <v>....1</v>
      </c>
      <c r="L51" s="1040"/>
      <c r="P51" s="92"/>
      <c r="Q51" s="92"/>
      <c r="R51" s="96">
        <v>1</v>
      </c>
      <c r="S51" s="1056" t="str">
        <f>$K51</f>
        <v>....1</v>
      </c>
      <c r="T51" s="1137"/>
      <c r="U51" s="83"/>
      <c r="V51" s="101"/>
      <c r="W51" s="137"/>
      <c r="X51" s="138"/>
      <c r="Y51" s="139" t="s">
        <v>62</v>
      </c>
      <c r="Z51" s="138"/>
      <c r="AA51" s="139" t="s">
        <v>62</v>
      </c>
      <c r="AB51" s="139" t="s">
        <v>19</v>
      </c>
      <c r="AC51" s="1079"/>
      <c r="AD51" s="661">
        <v>1</v>
      </c>
      <c r="AE51" s="1145" t="s">
        <v>28</v>
      </c>
      <c r="AF51" s="139" t="s">
        <v>19</v>
      </c>
      <c r="AG51" s="1079"/>
      <c r="AH51" s="661">
        <v>1</v>
      </c>
      <c r="AI51" s="1145" t="s">
        <v>28</v>
      </c>
      <c r="AJ51" s="139" t="s">
        <v>19</v>
      </c>
      <c r="AK51" s="1103"/>
      <c r="AL51" s="661">
        <v>1</v>
      </c>
      <c r="AM51" s="666"/>
      <c r="AN51" s="101"/>
      <c r="AO51" s="137"/>
      <c r="AP51" s="138"/>
      <c r="AQ51" s="139" t="s">
        <v>62</v>
      </c>
      <c r="AR51" s="138"/>
      <c r="AS51" s="139" t="s">
        <v>62</v>
      </c>
      <c r="AT51" s="1106"/>
      <c r="AU51" s="140" t="s">
        <v>482</v>
      </c>
      <c r="AV51" s="43" t="e">
        <f>STRCHECKDATE(V54:AT54)</f>
        <v>#NAME?</v>
      </c>
      <c r="AW51" s="150"/>
      <c r="AX51" s="150" t="str">
        <f t="shared" si="2"/>
        <v/>
      </c>
      <c r="AY51" s="150"/>
      <c r="AZ51" s="150"/>
      <c r="BA51" s="42">
        <v>21</v>
      </c>
    </row>
    <row r="52" ht="11.55" customHeight="1" spans="1:53">
      <c r="A52" s="45" t="s">
        <v>200</v>
      </c>
      <c r="B52" s="45"/>
      <c r="C52" s="45"/>
      <c r="D52" s="45"/>
      <c r="E52" s="1039"/>
      <c r="F52" s="1039"/>
      <c r="G52" s="1039"/>
      <c r="H52" s="1039"/>
      <c r="I52" s="1044"/>
      <c r="J52" s="1044"/>
      <c r="K52" s="228"/>
      <c r="L52" s="1040"/>
      <c r="P52" s="92"/>
      <c r="Q52" s="92"/>
      <c r="R52" s="96"/>
      <c r="S52" s="1058"/>
      <c r="T52" s="1143"/>
      <c r="U52" s="83"/>
      <c r="V52" s="1060"/>
      <c r="W52" s="1061"/>
      <c r="X52" s="1060"/>
      <c r="Y52" s="1060"/>
      <c r="Z52" s="1060"/>
      <c r="AA52" s="1060"/>
      <c r="AB52" s="139"/>
      <c r="AC52" s="1079"/>
      <c r="AD52" s="661"/>
      <c r="AE52" s="1145"/>
      <c r="AF52" s="139"/>
      <c r="AG52" s="1079"/>
      <c r="AH52" s="661"/>
      <c r="AI52" s="1145"/>
      <c r="AJ52" s="139"/>
      <c r="AK52" s="330"/>
      <c r="AL52" s="331"/>
      <c r="AM52" s="226" t="s">
        <v>467</v>
      </c>
      <c r="AN52" s="1060"/>
      <c r="AO52" s="1061"/>
      <c r="AP52" s="1060"/>
      <c r="AQ52" s="1060"/>
      <c r="AR52" s="1060"/>
      <c r="AS52" s="1060"/>
      <c r="AT52" s="1147"/>
      <c r="AU52" s="143"/>
      <c r="AW52" s="150"/>
      <c r="AX52" s="150"/>
      <c r="AY52" s="150"/>
      <c r="AZ52" s="150"/>
      <c r="BA52" s="42">
        <v>11</v>
      </c>
    </row>
    <row r="53" ht="11.55" customHeight="1" spans="1:53">
      <c r="A53" s="45" t="s">
        <v>200</v>
      </c>
      <c r="B53" s="45"/>
      <c r="C53" s="45"/>
      <c r="D53" s="45"/>
      <c r="E53" s="1039"/>
      <c r="F53" s="1039"/>
      <c r="G53" s="1039"/>
      <c r="H53" s="1039"/>
      <c r="I53" s="1044"/>
      <c r="J53" s="1044"/>
      <c r="K53" s="228"/>
      <c r="L53" s="1040"/>
      <c r="P53" s="92"/>
      <c r="Q53" s="92"/>
      <c r="R53" s="96"/>
      <c r="S53" s="1058"/>
      <c r="T53" s="1143"/>
      <c r="U53" s="83"/>
      <c r="V53" s="1060"/>
      <c r="W53" s="1061"/>
      <c r="X53" s="1060"/>
      <c r="Y53" s="1060"/>
      <c r="Z53" s="1060"/>
      <c r="AA53" s="1060"/>
      <c r="AB53" s="139"/>
      <c r="AC53" s="1079"/>
      <c r="AD53" s="661"/>
      <c r="AE53" s="1145"/>
      <c r="AF53" s="139"/>
      <c r="AG53" s="900"/>
      <c r="AH53" s="226"/>
      <c r="AI53" s="226" t="s">
        <v>468</v>
      </c>
      <c r="AJ53" s="1060"/>
      <c r="AK53" s="1060"/>
      <c r="AL53" s="1060"/>
      <c r="AM53" s="1060"/>
      <c r="AN53" s="1060"/>
      <c r="AO53" s="1061"/>
      <c r="AP53" s="1060"/>
      <c r="AQ53" s="1060"/>
      <c r="AR53" s="1060"/>
      <c r="AS53" s="1060"/>
      <c r="AT53" s="1147"/>
      <c r="AU53" s="143"/>
      <c r="AW53" s="150"/>
      <c r="AX53" s="150"/>
      <c r="AY53" s="150"/>
      <c r="AZ53" s="150"/>
      <c r="BA53" s="42">
        <v>11</v>
      </c>
    </row>
    <row r="54" ht="11.55" customHeight="1" spans="1:53">
      <c r="A54" s="45" t="s">
        <v>200</v>
      </c>
      <c r="B54" s="45" t="s">
        <v>201</v>
      </c>
      <c r="C54" s="45" t="s">
        <v>202</v>
      </c>
      <c r="D54" s="45" t="s">
        <v>203</v>
      </c>
      <c r="E54" s="1039"/>
      <c r="F54" s="1039"/>
      <c r="G54" s="1039"/>
      <c r="H54" s="1039"/>
      <c r="I54" s="1044"/>
      <c r="J54" s="1044"/>
      <c r="K54" s="228"/>
      <c r="L54" s="1040"/>
      <c r="P54" s="92"/>
      <c r="Q54" s="92"/>
      <c r="R54" s="96"/>
      <c r="S54" s="1062"/>
      <c r="T54" s="1144"/>
      <c r="U54" s="83"/>
      <c r="V54" s="1060"/>
      <c r="W54" s="1064" t="str">
        <f>X51&amp;"-"&amp;Z51</f>
        <v>-</v>
      </c>
      <c r="X54" s="1060"/>
      <c r="Y54" s="1060"/>
      <c r="Z54" s="1060"/>
      <c r="AA54" s="1060"/>
      <c r="AB54" s="139"/>
      <c r="AC54" s="1080"/>
      <c r="AD54" s="1081"/>
      <c r="AE54" s="226" t="s">
        <v>469</v>
      </c>
      <c r="AF54" s="1060"/>
      <c r="AG54" s="1060"/>
      <c r="AH54" s="1060"/>
      <c r="AI54" s="1060"/>
      <c r="AJ54" s="1060"/>
      <c r="AK54" s="1060"/>
      <c r="AL54" s="1060"/>
      <c r="AM54" s="1060"/>
      <c r="AN54" s="1060"/>
      <c r="AO54" s="1064" t="str">
        <f>AP51&amp;"-"&amp;AR51</f>
        <v>-</v>
      </c>
      <c r="AP54" s="1060"/>
      <c r="AQ54" s="1060"/>
      <c r="AR54" s="1060"/>
      <c r="AS54" s="1060"/>
      <c r="AT54" s="1148"/>
      <c r="AU54" s="143"/>
      <c r="AW54" s="150"/>
      <c r="AX54" s="150" t="str">
        <f t="shared" ref="AX54:AX62" si="3">IF(T54="","",T54)</f>
        <v/>
      </c>
      <c r="AY54" s="150"/>
      <c r="AZ54" s="150"/>
      <c r="BA54" s="42">
        <v>11</v>
      </c>
    </row>
    <row r="55" ht="11.55" customHeight="1" spans="1:53">
      <c r="A55" s="45" t="s">
        <v>200</v>
      </c>
      <c r="B55" s="45" t="s">
        <v>201</v>
      </c>
      <c r="C55" s="45" t="s">
        <v>202</v>
      </c>
      <c r="D55" s="45" t="s">
        <v>203</v>
      </c>
      <c r="E55" s="1039"/>
      <c r="F55" s="1039"/>
      <c r="G55" s="1039"/>
      <c r="H55" s="1039"/>
      <c r="I55" s="1044"/>
      <c r="J55" s="228"/>
      <c r="K55" s="45"/>
      <c r="L55" s="1040"/>
      <c r="P55" s="92"/>
      <c r="Q55" s="92"/>
      <c r="R55" s="93"/>
      <c r="S55" s="104"/>
      <c r="T55" s="107" t="s">
        <v>470</v>
      </c>
      <c r="U55" s="106"/>
      <c r="V55" s="106"/>
      <c r="W55" s="106"/>
      <c r="X55" s="106"/>
      <c r="Y55" s="106"/>
      <c r="Z55" s="106"/>
      <c r="AA55" s="144"/>
      <c r="AB55" s="1082"/>
      <c r="AC55" s="106"/>
      <c r="AD55" s="106"/>
      <c r="AE55" s="106"/>
      <c r="AF55" s="106"/>
      <c r="AG55" s="106"/>
      <c r="AH55" s="106"/>
      <c r="AI55" s="106"/>
      <c r="AJ55" s="106"/>
      <c r="AK55" s="106"/>
      <c r="AL55" s="106"/>
      <c r="AM55" s="106"/>
      <c r="AN55" s="106"/>
      <c r="AO55" s="106"/>
      <c r="AP55" s="106"/>
      <c r="AQ55" s="106"/>
      <c r="AR55" s="106"/>
      <c r="AS55" s="106"/>
      <c r="AT55" s="144"/>
      <c r="AU55" s="145"/>
      <c r="AW55" s="150"/>
      <c r="AX55" s="150" t="str">
        <f t="shared" si="3"/>
        <v>Добавить строку</v>
      </c>
      <c r="AY55" s="150"/>
      <c r="AZ55" s="150"/>
      <c r="BA55" s="42">
        <v>11</v>
      </c>
    </row>
    <row r="56" s="43" customFormat="1" ht="1.05" customHeight="1" spans="1:53">
      <c r="A56" s="587" t="s">
        <v>200</v>
      </c>
      <c r="B56" s="587" t="s">
        <v>201</v>
      </c>
      <c r="C56" s="587" t="s">
        <v>202</v>
      </c>
      <c r="D56" s="587" t="s">
        <v>203</v>
      </c>
      <c r="E56" s="1039"/>
      <c r="F56" s="1039"/>
      <c r="G56" s="1039"/>
      <c r="H56" s="1039"/>
      <c r="I56" s="228"/>
      <c r="J56" s="587"/>
      <c r="K56" s="587"/>
      <c r="L56" s="608"/>
      <c r="M56" s="1043"/>
      <c r="N56" s="1043"/>
      <c r="O56" s="1043"/>
      <c r="P56" s="92"/>
      <c r="Q56" s="92"/>
      <c r="R56" s="93"/>
      <c r="S56" s="1065"/>
      <c r="T56" s="1066" t="s">
        <v>417</v>
      </c>
      <c r="U56" s="1067"/>
      <c r="V56" s="1067"/>
      <c r="W56" s="1067"/>
      <c r="X56" s="1067"/>
      <c r="Y56" s="1067"/>
      <c r="Z56" s="1067"/>
      <c r="AA56" s="1067"/>
      <c r="AB56" s="1067"/>
      <c r="AC56" s="1067"/>
      <c r="AD56" s="1067"/>
      <c r="AE56" s="1067"/>
      <c r="AF56" s="1067"/>
      <c r="AG56" s="1067"/>
      <c r="AH56" s="1067"/>
      <c r="AI56" s="1067"/>
      <c r="AJ56" s="1067"/>
      <c r="AK56" s="1067"/>
      <c r="AL56" s="1067"/>
      <c r="AM56" s="1067"/>
      <c r="AN56" s="1067"/>
      <c r="AO56" s="1067"/>
      <c r="AP56" s="1067"/>
      <c r="AQ56" s="1067"/>
      <c r="AR56" s="1067"/>
      <c r="AS56" s="1067"/>
      <c r="AT56" s="1067"/>
      <c r="AU56" s="1109"/>
      <c r="AW56" s="150"/>
      <c r="AX56" s="150" t="str">
        <f t="shared" si="3"/>
        <v>Добавить группу потребителей</v>
      </c>
      <c r="AY56" s="150"/>
      <c r="AZ56" s="150"/>
      <c r="BA56" s="43">
        <v>1</v>
      </c>
    </row>
    <row r="57" s="36" customFormat="1" ht="1.05" customHeight="1" spans="1:53">
      <c r="A57" s="587" t="s">
        <v>200</v>
      </c>
      <c r="B57" s="587" t="s">
        <v>201</v>
      </c>
      <c r="C57" s="587" t="s">
        <v>202</v>
      </c>
      <c r="D57" s="587" t="s">
        <v>203</v>
      </c>
      <c r="E57" s="1039"/>
      <c r="F57" s="1039"/>
      <c r="G57" s="1039"/>
      <c r="H57" s="1038"/>
      <c r="I57" s="587"/>
      <c r="J57" s="587"/>
      <c r="K57" s="587"/>
      <c r="L57" s="608"/>
      <c r="M57" s="282"/>
      <c r="N57" s="282"/>
      <c r="O57" s="43"/>
      <c r="P57" s="151"/>
      <c r="Q57" s="1068"/>
      <c r="R57" s="1139"/>
      <c r="S57" s="1065"/>
      <c r="T57" s="1066"/>
      <c r="U57" s="1067"/>
      <c r="V57" s="1067"/>
      <c r="W57" s="1067"/>
      <c r="X57" s="1067"/>
      <c r="Y57" s="1067"/>
      <c r="Z57" s="1067"/>
      <c r="AA57" s="1067"/>
      <c r="AB57" s="1067"/>
      <c r="AC57" s="1067"/>
      <c r="AD57" s="1067"/>
      <c r="AE57" s="1067"/>
      <c r="AF57" s="1067"/>
      <c r="AG57" s="1067"/>
      <c r="AH57" s="1067"/>
      <c r="AI57" s="1067"/>
      <c r="AJ57" s="1067"/>
      <c r="AK57" s="1067"/>
      <c r="AL57" s="1067"/>
      <c r="AM57" s="1067"/>
      <c r="AN57" s="1067"/>
      <c r="AO57" s="1067"/>
      <c r="AP57" s="1067"/>
      <c r="AQ57" s="1067"/>
      <c r="AR57" s="1067"/>
      <c r="AS57" s="1067"/>
      <c r="AT57" s="1067"/>
      <c r="AU57" s="1109"/>
      <c r="AV57" s="43"/>
      <c r="AW57" s="150"/>
      <c r="AX57" s="150" t="str">
        <f t="shared" si="3"/>
        <v/>
      </c>
      <c r="AY57" s="150"/>
      <c r="AZ57" s="150"/>
      <c r="BA57" s="36">
        <v>1</v>
      </c>
    </row>
    <row r="58" s="43" customFormat="1" ht="1.05" customHeight="1" spans="1:53">
      <c r="A58" s="587" t="s">
        <v>200</v>
      </c>
      <c r="B58" s="587" t="s">
        <v>201</v>
      </c>
      <c r="C58" s="587" t="s">
        <v>202</v>
      </c>
      <c r="D58" s="587"/>
      <c r="E58" s="1039"/>
      <c r="F58" s="1039"/>
      <c r="G58" s="1038"/>
      <c r="H58" s="587"/>
      <c r="I58" s="587"/>
      <c r="J58" s="587"/>
      <c r="K58" s="587"/>
      <c r="L58" s="608"/>
      <c r="M58" s="282"/>
      <c r="N58" s="282"/>
      <c r="P58" s="151"/>
      <c r="Q58" s="1068"/>
      <c r="R58" s="151"/>
      <c r="S58" s="1070"/>
      <c r="T58" s="1071" t="s">
        <v>419</v>
      </c>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W58" s="150"/>
      <c r="AX58" s="150" t="str">
        <f t="shared" si="3"/>
        <v>Добавить источник для дифференциации</v>
      </c>
      <c r="AY58" s="150"/>
      <c r="AZ58" s="150"/>
      <c r="BA58" s="43">
        <v>1</v>
      </c>
    </row>
    <row r="59" s="43" customFormat="1" ht="1.05" customHeight="1" spans="1:53">
      <c r="A59" s="587" t="s">
        <v>200</v>
      </c>
      <c r="B59" s="587" t="s">
        <v>201</v>
      </c>
      <c r="C59" s="587"/>
      <c r="D59" s="587"/>
      <c r="E59" s="1039"/>
      <c r="F59" s="1038"/>
      <c r="G59" s="587"/>
      <c r="H59" s="587"/>
      <c r="I59" s="587"/>
      <c r="J59" s="587"/>
      <c r="K59" s="587"/>
      <c r="L59" s="608"/>
      <c r="M59" s="1045"/>
      <c r="N59" s="1045"/>
      <c r="P59" s="151"/>
      <c r="Q59" s="1068"/>
      <c r="R59" s="151"/>
      <c r="S59" s="1070"/>
      <c r="T59" s="1071" t="s">
        <v>251</v>
      </c>
      <c r="U59" s="306"/>
      <c r="V59" s="306"/>
      <c r="W59" s="306"/>
      <c r="X59" s="306"/>
      <c r="Y59" s="306"/>
      <c r="Z59" s="306"/>
      <c r="AA59" s="306"/>
      <c r="AB59" s="306"/>
      <c r="AC59" s="306"/>
      <c r="AD59" s="306"/>
      <c r="AE59" s="306"/>
      <c r="AF59" s="306"/>
      <c r="AG59" s="306"/>
      <c r="AH59" s="306"/>
      <c r="AI59" s="306"/>
      <c r="AJ59" s="306"/>
      <c r="AK59" s="306"/>
      <c r="AL59" s="306"/>
      <c r="AM59" s="306"/>
      <c r="AN59" s="306"/>
      <c r="AO59" s="306"/>
      <c r="AP59" s="306"/>
      <c r="AQ59" s="306"/>
      <c r="AR59" s="306"/>
      <c r="AS59" s="306"/>
      <c r="AT59" s="306"/>
      <c r="AU59" s="306"/>
      <c r="AW59" s="150"/>
      <c r="AX59" s="150" t="str">
        <f t="shared" si="3"/>
        <v>Добавить централизованную систему для дифференциации</v>
      </c>
      <c r="AY59" s="150"/>
      <c r="AZ59" s="150"/>
      <c r="BA59" s="43">
        <v>1</v>
      </c>
    </row>
    <row r="60" s="43" customFormat="1" ht="1.05" customHeight="1" spans="1:53">
      <c r="A60" s="587" t="s">
        <v>200</v>
      </c>
      <c r="B60" s="587"/>
      <c r="C60" s="587"/>
      <c r="D60" s="587"/>
      <c r="E60" s="1039"/>
      <c r="F60" s="587"/>
      <c r="G60" s="587"/>
      <c r="H60" s="587"/>
      <c r="I60" s="587"/>
      <c r="J60" s="587"/>
      <c r="K60" s="587"/>
      <c r="L60" s="608"/>
      <c r="M60" s="1045"/>
      <c r="N60" s="1045"/>
      <c r="P60" s="151"/>
      <c r="Q60" s="1068"/>
      <c r="R60" s="151"/>
      <c r="S60" s="1070"/>
      <c r="T60" s="1071" t="s">
        <v>252</v>
      </c>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W60" s="150"/>
      <c r="AX60" s="150" t="str">
        <f t="shared" si="3"/>
        <v>Добавить территорию для дифференциации</v>
      </c>
      <c r="AY60" s="150"/>
      <c r="AZ60" s="150"/>
      <c r="BA60" s="43">
        <v>1</v>
      </c>
    </row>
    <row r="61" s="43" customFormat="1" ht="1.05" customHeight="1" spans="1:53">
      <c r="A61" s="587" t="s">
        <v>200</v>
      </c>
      <c r="B61" s="587"/>
      <c r="C61" s="587"/>
      <c r="D61" s="587"/>
      <c r="E61" s="1038"/>
      <c r="F61" s="587"/>
      <c r="G61" s="587"/>
      <c r="H61" s="587"/>
      <c r="I61" s="587"/>
      <c r="J61" s="587"/>
      <c r="K61" s="587"/>
      <c r="L61" s="608"/>
      <c r="M61" s="1045"/>
      <c r="N61" s="1045"/>
      <c r="P61" s="151"/>
      <c r="Q61" s="1068"/>
      <c r="R61" s="151"/>
      <c r="S61" s="1070"/>
      <c r="T61" s="1071" t="s">
        <v>252</v>
      </c>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W61" s="150"/>
      <c r="AX61" s="150" t="str">
        <f t="shared" si="3"/>
        <v>Добавить территорию для дифференциации</v>
      </c>
      <c r="AY61" s="150"/>
      <c r="AZ61" s="150"/>
      <c r="BA61" s="43">
        <v>1</v>
      </c>
    </row>
    <row r="62" s="43" customFormat="1" ht="1.05" customHeight="1" spans="1:53">
      <c r="A62" s="587"/>
      <c r="B62" s="587"/>
      <c r="C62" s="587"/>
      <c r="D62" s="587"/>
      <c r="E62" s="587"/>
      <c r="F62" s="587"/>
      <c r="G62" s="587"/>
      <c r="H62" s="587"/>
      <c r="I62" s="587"/>
      <c r="J62" s="587"/>
      <c r="K62" s="587"/>
      <c r="L62" s="608"/>
      <c r="M62" s="1045"/>
      <c r="N62" s="1045"/>
      <c r="P62" s="151"/>
      <c r="Q62" s="1068"/>
      <c r="R62" s="151"/>
      <c r="S62" s="1070"/>
      <c r="T62" s="1071" t="s">
        <v>253</v>
      </c>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W62" s="150"/>
      <c r="AX62" s="150" t="str">
        <f t="shared" si="3"/>
        <v>Добавить наименование тарифа</v>
      </c>
      <c r="AY62" s="150"/>
      <c r="AZ62" s="150"/>
      <c r="BA62" s="43">
        <v>1</v>
      </c>
    </row>
    <row r="63" ht="11.55" customHeight="1" spans="13:53">
      <c r="M63" s="37"/>
      <c r="N63" s="37"/>
      <c r="O63" s="37"/>
      <c r="P63" s="37"/>
      <c r="Q63" s="37"/>
      <c r="R63" s="42"/>
      <c r="S63" s="42"/>
      <c r="AV63" s="42"/>
      <c r="AW63" s="42"/>
      <c r="AX63" s="42"/>
      <c r="AY63" s="42"/>
      <c r="AZ63" s="42"/>
      <c r="BA63" s="42">
        <v>11</v>
      </c>
    </row>
    <row r="64" ht="19.95" customHeight="1" spans="15:53">
      <c r="O64" s="37"/>
      <c r="S64" s="781"/>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BA64" s="42">
        <v>19</v>
      </c>
    </row>
    <row r="65" ht="21" customHeight="1" spans="15:53">
      <c r="O65" s="37"/>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BA65" s="42">
        <v>20</v>
      </c>
    </row>
    <row r="66" ht="14.7" customHeight="1" spans="15:53">
      <c r="O66" s="37"/>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BA66" s="42">
        <v>14</v>
      </c>
    </row>
    <row r="67" ht="19.95" customHeight="1" spans="15:53">
      <c r="O67" s="37"/>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BA67" s="42">
        <v>19</v>
      </c>
    </row>
    <row r="68" ht="16.8" customHeight="1" spans="15:53">
      <c r="O68" s="37"/>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c r="AU68" s="119"/>
      <c r="BA68" s="42">
        <v>16</v>
      </c>
    </row>
    <row r="69" ht="14.7" customHeight="1" spans="15:53">
      <c r="O69" s="37"/>
      <c r="BA69" s="42">
        <v>14</v>
      </c>
    </row>
    <row r="70" ht="22.5" hidden="1" customHeight="1" spans="1:53">
      <c r="A70" s="37" t="s">
        <v>83</v>
      </c>
      <c r="B70" s="37">
        <v>0</v>
      </c>
      <c r="C70" s="37">
        <v>0</v>
      </c>
      <c r="D70" s="37">
        <v>0</v>
      </c>
      <c r="E70" s="37">
        <v>0</v>
      </c>
      <c r="F70" s="37">
        <v>0</v>
      </c>
      <c r="G70" s="37">
        <v>0</v>
      </c>
      <c r="H70" s="37">
        <v>0</v>
      </c>
      <c r="I70" s="37">
        <v>0</v>
      </c>
      <c r="J70" s="37">
        <v>0</v>
      </c>
      <c r="K70" s="37">
        <v>0</v>
      </c>
      <c r="L70" s="47">
        <v>0</v>
      </c>
      <c r="M70" s="38">
        <v>0</v>
      </c>
      <c r="N70" s="38">
        <v>0</v>
      </c>
      <c r="O70" s="38">
        <v>0</v>
      </c>
      <c r="P70" s="38">
        <v>3</v>
      </c>
      <c r="Q70" s="1037">
        <v>3</v>
      </c>
      <c r="R70" s="40">
        <v>3</v>
      </c>
      <c r="S70" s="41">
        <v>12</v>
      </c>
      <c r="T70" s="42">
        <v>31</v>
      </c>
      <c r="U70" s="42">
        <v>0</v>
      </c>
      <c r="V70" s="42">
        <v>0</v>
      </c>
      <c r="W70" s="42">
        <v>0</v>
      </c>
      <c r="X70" s="42">
        <v>0</v>
      </c>
      <c r="Y70" s="42">
        <v>0</v>
      </c>
      <c r="Z70" s="42">
        <v>0</v>
      </c>
      <c r="AA70" s="42">
        <v>0</v>
      </c>
      <c r="AB70" s="42">
        <v>5</v>
      </c>
      <c r="AC70" s="42">
        <v>3</v>
      </c>
      <c r="AD70" s="42">
        <v>3</v>
      </c>
      <c r="AE70" s="42">
        <v>24</v>
      </c>
      <c r="AF70" s="42">
        <v>3</v>
      </c>
      <c r="AG70" s="42">
        <v>3</v>
      </c>
      <c r="AH70" s="42">
        <v>3</v>
      </c>
      <c r="AI70" s="42">
        <v>24</v>
      </c>
      <c r="AJ70" s="42">
        <v>3</v>
      </c>
      <c r="AK70" s="42">
        <v>3</v>
      </c>
      <c r="AL70" s="42">
        <v>3</v>
      </c>
      <c r="AM70" s="42">
        <v>18</v>
      </c>
      <c r="AN70" s="42">
        <v>21</v>
      </c>
      <c r="AO70" s="42">
        <v>21</v>
      </c>
      <c r="AP70" s="42">
        <v>11</v>
      </c>
      <c r="AQ70" s="42">
        <v>3</v>
      </c>
      <c r="AR70" s="42">
        <v>11</v>
      </c>
      <c r="AS70" s="42">
        <v>8</v>
      </c>
      <c r="AT70" s="42">
        <v>4</v>
      </c>
      <c r="AU70" s="42">
        <v>115</v>
      </c>
      <c r="AV70" s="43">
        <v>10</v>
      </c>
      <c r="AW70" s="43">
        <v>10</v>
      </c>
      <c r="AX70" s="43">
        <v>10</v>
      </c>
      <c r="AY70" s="43">
        <v>10</v>
      </c>
      <c r="AZ70" s="43">
        <v>10</v>
      </c>
      <c r="BA70" s="42">
        <v>23</v>
      </c>
    </row>
  </sheetData>
  <sheetProtection formatColumns="0" formatRows="0" insertRows="0" deleteColumns="0" deleteRows="0" sort="0" autoFilter="0"/>
  <mergeCells count="119">
    <mergeCell ref="V2:AA2"/>
    <mergeCell ref="AB2:AT2"/>
    <mergeCell ref="V3:AA3"/>
    <mergeCell ref="AB3:AT3"/>
    <mergeCell ref="V4:AA4"/>
    <mergeCell ref="AB4:AT4"/>
    <mergeCell ref="V5:AA5"/>
    <mergeCell ref="AB5:AT5"/>
    <mergeCell ref="V6:AA6"/>
    <mergeCell ref="AB6:AT6"/>
    <mergeCell ref="V7:AA7"/>
    <mergeCell ref="AB7:AT7"/>
    <mergeCell ref="S27:AR27"/>
    <mergeCell ref="S28:AR28"/>
    <mergeCell ref="S30:T30"/>
    <mergeCell ref="V30:Z30"/>
    <mergeCell ref="AB30:AR30"/>
    <mergeCell ref="S31:T31"/>
    <mergeCell ref="V31:Z31"/>
    <mergeCell ref="AB31:AR31"/>
    <mergeCell ref="S32:T32"/>
    <mergeCell ref="V32:Z32"/>
    <mergeCell ref="AB32:AR32"/>
    <mergeCell ref="S33:T33"/>
    <mergeCell ref="V33:Z33"/>
    <mergeCell ref="AB33:AR33"/>
    <mergeCell ref="S35:T35"/>
    <mergeCell ref="V35:Z35"/>
    <mergeCell ref="AB35:AR35"/>
    <mergeCell ref="S36:T36"/>
    <mergeCell ref="V36:Z36"/>
    <mergeCell ref="AB36:AR36"/>
    <mergeCell ref="V38:AA38"/>
    <mergeCell ref="AB38:AS38"/>
    <mergeCell ref="S39:AT39"/>
    <mergeCell ref="V40:Z40"/>
    <mergeCell ref="AN40:AR40"/>
    <mergeCell ref="V41:W41"/>
    <mergeCell ref="AN41:AO41"/>
    <mergeCell ref="V42:W42"/>
    <mergeCell ref="AN42:AO42"/>
    <mergeCell ref="Y43:Z43"/>
    <mergeCell ref="AQ43:AR43"/>
    <mergeCell ref="Y44:Z44"/>
    <mergeCell ref="AQ44:AR44"/>
    <mergeCell ref="V45:AA45"/>
    <mergeCell ref="AB45:AT45"/>
    <mergeCell ref="V46:AA46"/>
    <mergeCell ref="AB46:AT46"/>
    <mergeCell ref="V47:AA47"/>
    <mergeCell ref="AB47:AT47"/>
    <mergeCell ref="V48:AA48"/>
    <mergeCell ref="AB48:AT48"/>
    <mergeCell ref="V49:AA49"/>
    <mergeCell ref="AB49:AT49"/>
    <mergeCell ref="V50:AA50"/>
    <mergeCell ref="AB50:AT50"/>
    <mergeCell ref="T64:AU64"/>
    <mergeCell ref="T65:AU65"/>
    <mergeCell ref="T67:AU67"/>
    <mergeCell ref="T68:AU68"/>
    <mergeCell ref="E2:E17"/>
    <mergeCell ref="E45:E61"/>
    <mergeCell ref="F3:F16"/>
    <mergeCell ref="F46:F59"/>
    <mergeCell ref="G4:G15"/>
    <mergeCell ref="G47:G58"/>
    <mergeCell ref="H5:H14"/>
    <mergeCell ref="H48:H57"/>
    <mergeCell ref="I6:I13"/>
    <mergeCell ref="I49:I56"/>
    <mergeCell ref="J7:J12"/>
    <mergeCell ref="J50:J55"/>
    <mergeCell ref="K8:K11"/>
    <mergeCell ref="K51:K54"/>
    <mergeCell ref="P6:P13"/>
    <mergeCell ref="P49:P56"/>
    <mergeCell ref="Q7:Q12"/>
    <mergeCell ref="Q50:Q55"/>
    <mergeCell ref="R8:R11"/>
    <mergeCell ref="S8:S11"/>
    <mergeCell ref="S40:S43"/>
    <mergeCell ref="S51:S54"/>
    <mergeCell ref="T8:T11"/>
    <mergeCell ref="T40:T43"/>
    <mergeCell ref="T51:T54"/>
    <mergeCell ref="X8:X11"/>
    <mergeCell ref="Y8:Y11"/>
    <mergeCell ref="Z8:Z11"/>
    <mergeCell ref="AA8:AA11"/>
    <mergeCell ref="AA40:AA43"/>
    <mergeCell ref="AB8:AB11"/>
    <mergeCell ref="AB51:AB54"/>
    <mergeCell ref="AC8:AC10"/>
    <mergeCell ref="AC51:AC53"/>
    <mergeCell ref="AD8:AD10"/>
    <mergeCell ref="AD51:AD53"/>
    <mergeCell ref="AE8:AE10"/>
    <mergeCell ref="AE51:AE53"/>
    <mergeCell ref="AF8:AF10"/>
    <mergeCell ref="AF51:AF53"/>
    <mergeCell ref="AG8:AG9"/>
    <mergeCell ref="AG51:AG52"/>
    <mergeCell ref="AH8:AH9"/>
    <mergeCell ref="AH51:AH52"/>
    <mergeCell ref="AI8:AI9"/>
    <mergeCell ref="AI51:AI52"/>
    <mergeCell ref="AJ8:AJ9"/>
    <mergeCell ref="AJ51:AJ52"/>
    <mergeCell ref="AS40:AS43"/>
    <mergeCell ref="AT40:AT43"/>
    <mergeCell ref="AU8:AU12"/>
    <mergeCell ref="AU39:AU43"/>
    <mergeCell ref="AU51:AU55"/>
    <mergeCell ref="AB40:AE43"/>
    <mergeCell ref="AF40:AI43"/>
    <mergeCell ref="AJ40:AM43"/>
    <mergeCell ref="X41:Z42"/>
    <mergeCell ref="AP41:AR42"/>
  </mergeCells>
  <dataValidations count="10">
    <dataValidation allowBlank="1" showInputMessage="1" showErrorMessage="1" prompt="Для выбора выполните двойной щелчок левой клавиши мыши по соответствующей ячейке." sqref="AB8 AE8:AF8 AI8:AJ8 AQ8 AS8 AB19 AE19:AF19 AI19:AJ19 AQ19 AS19 Y51 AA51:AB51 AE51:AF51 AI51:AJ51 AQ51 AS51 Y65590 AA65590 AQ65590 AS65590 Y131126 AA131126 AQ131126 AS131126 Y196662 AA196662 AQ196662 AS196662 Y262198 AA262198 AQ262198 AS262198 Y327734 AA327734 AQ327734 AS327734 Y393270 AA393270 AQ393270 AS393270 Y458806 AA458806 AQ458806 AS458806 Y524342 AA524342 AQ524342 AS524342 Y589878 AA589878 AQ589878 AS589878 Y655414 AA655414 AQ655414 AS655414 Y720950 AA720950 AQ720950 AS720950 Y786486 AA786486 AQ786486 AS786486 Y852022 AA852022 AQ852022 AS852022 Y917558 AA917558 AQ917558 AS917558 Y983094 AA983094 AQ983094 AS983094 Y8:Y10 AA8:AA1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P8 AR8 AP19 AR19 X51 Z51 AP51 AR51 X65590 Z65590 AP65590 AR65590 X131126 Z131126 AP131126 AR131126 X196662 Z196662 AP196662 AR196662 X262198 Z262198 AP262198 AR262198 X327734 Z327734 AP327734 AR327734 X393270 Z393270 AP393270 AR393270 X458806 Z458806 AP458806 AR458806 X524342 Z524342 AP524342 AR524342 X589878 Z589878 AP589878 AR589878 X655414 Z655414 AP655414 AR655414 X720950 Z720950 AP720950 AR720950 X786486 Z786486 AP786486 AR786486 X852022 Z852022 AP852022 AR852022 X917558 Z917558 AP917558 AR917558 X983094 Z983094 AP983094 AR983094 X8:X10 Z8:Z10"/>
    <dataValidation allowBlank="1" promptTitle="checkPeriodRange" sqref="W11 AO11 W54 AO54 W65591 AO65591 W131127 AO131127 W196663 AO196663 W262199 AO262199 W327735 AO327735 W393271 AO393271 W458807 AO458807 W524343 AO524343 W589879 AO589879 W655415 AO655415 W720951 AO720951 W786487 AO786487 W852023 AO852023 W917559 AO917559 W983095 AO983095"/>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showErrorMessage="1" errorTitle="Ошибка" error="Выберите значение из списка" sqref="AB65588:AM65588 AB131124:AM131124 AB196660:AM196660 AB262196:AM262196 AB327732:AM327732 AB393268:AM393268 AB458804:AM458804 AB524340:AM524340 AB589876:AM589876 AB655412:AM655412 AB720948:AM720948 AB786484:AM786484 AB852020:AM852020 AB917556:AM917556 AB983092:AM983092">
      <formula1>kind_of_scheme_in</formula1>
    </dataValidation>
    <dataValidation type="list" allowBlank="1" showInputMessage="1" errorTitle="Ошибка" error="Выберите значение из списка" prompt="Выберите значение из списка" sqref="V65589:AT65589 V131125:AT131125 V196661:AT196661 V262197:AT262197 V327733:AT327733 V393269:AT393269 V458805:AT458805 V524341:AT524341 V589877:AT589877 V655413:AT655413 V720949:AT720949 V786485:AT786485 V852021:AT852021 V917557:AT917557 V983093:AT983093">
      <formula1>kind_of_cons</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textLength" operator="lessThanOrEqual" allowBlank="1" showInputMessage="1" showErrorMessage="1" errorTitle="Ошибка" error="Допускается ввод не более 900 символов!" sqref="T8:T11 T51:T54 AU65584:AU65591 AU131120:AU131127 AU196656:AU196663 AU262192:AU262199 AU327728:AU327735 AU393264:AU393271 AU458800:AU458807 AU524336:AU524343 AU589872:AU589879 AU655408:AU655415 AU720944:AU720951 AU786480:AU786487 AU852016:AU852023 AU917552:AU917559 AU983088:AU983095">
      <formula1>900</formula1>
    </dataValidation>
    <dataValidation allowBlank="1" sqref="S131128:AU131134 S589880:AU589886 S196664:AU196670 S655416:AU655422 S262200:AU262206 S720952:AU720958 S327736:AU327742 S786488:AU786494 S393272:AU393278 S852024:AU852030 S458808:AU458814 S917560:AU917566 S65592:AU65598 S524344:AU524350 S983096:AU983102"/>
  </dataValidations>
  <pageMargins left="0.7" right="0.7" top="0.75" bottom="0.75" header="0.3" footer="0.3"/>
  <pageSetup paperSize="1"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483</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484</v>
      </c>
      <c r="AM4" s="150"/>
      <c r="AN4" s="150" t="str">
        <f t="shared" si="0"/>
        <v>Наименование централизованной системы холодного водоснабжения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251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252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РТ по тарифам</v>
      </c>
      <c r="W27" s="59"/>
      <c r="X27" s="59"/>
      <c r="Y27" s="59"/>
      <c r="Z27" s="59"/>
      <c r="AA27" s="59"/>
      <c r="AB27" s="42"/>
      <c r="AC27" s="59" t="str">
        <f>IF(TITLE_NAME_OR_PR_CHANGE="",IF(TITLE_NAME_OR_PR="","",TITLE_NAME_OR_PR),TITLE_NAME_OR_PR_CHANGE)</f>
        <v>Государственный комитет РТ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108-73/тп-2024</v>
      </c>
      <c r="W29" s="59"/>
      <c r="X29" s="59"/>
      <c r="Y29" s="59"/>
      <c r="Z29" s="59"/>
      <c r="AA29" s="59"/>
      <c r="AB29" s="42"/>
      <c r="AC29" s="59" t="str">
        <f>IF(TITLE_NUMBER_PR_CHANGE="",IF(TITLE_NUMBER_PR="","",TITLE_NUMBER_PR),TITLE_NUMBER_PR_CHANGE)</f>
        <v>108-73/тп-2024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
Республики Татарстан"</v>
      </c>
      <c r="W30" s="59"/>
      <c r="X30" s="59"/>
      <c r="Y30" s="59"/>
      <c r="Z30" s="59"/>
      <c r="AA30" s="59"/>
      <c r="AB30" s="42"/>
      <c r="AC30" s="59" t="str">
        <f>IF(TITLE_IST_PUB_CHANGE="",IF(TITLE_IST_PUB="","",TITLE_IST_PUB),TITLE_IST_PUB_CHANGE)</f>
        <v>"Официальный портал правовой информации
Республики Татарстан"</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108-73/тп-2024</v>
      </c>
      <c r="W33" s="59"/>
      <c r="X33" s="59"/>
      <c r="Y33" s="59"/>
      <c r="Z33" s="59"/>
      <c r="AA33" s="59"/>
      <c r="AB33" s="42"/>
      <c r="AC33" s="59" t="str">
        <f>IF(TITLE_NUMBER_PR_CHANGE="",IF(TITLE_NUMBER_PR="","",TITLE_NUMBER_PR),TITLE_NUMBER_PR_CHANGE)</f>
        <v>108-73/тп-2024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35.7"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494</v>
      </c>
      <c r="W39" s="130" t="s">
        <v>495</v>
      </c>
      <c r="X39" s="130" t="s">
        <v>496</v>
      </c>
      <c r="Y39" s="130" t="s">
        <v>449</v>
      </c>
      <c r="Z39" s="131" t="s">
        <v>450</v>
      </c>
      <c r="AA39" s="132"/>
      <c r="AB39" s="133"/>
      <c r="AC39" s="70" t="s">
        <v>494</v>
      </c>
      <c r="AD39" s="130" t="s">
        <v>495</v>
      </c>
      <c r="AE39" s="130" t="s">
        <v>496</v>
      </c>
      <c r="AF39" s="130" t="s">
        <v>449</v>
      </c>
      <c r="AG39" s="131" t="s">
        <v>450</v>
      </c>
      <c r="AH39" s="132"/>
      <c r="AI39" s="133"/>
      <c r="AJ39" s="134"/>
      <c r="AK39" s="63"/>
      <c r="AQ39" s="42">
        <v>34</v>
      </c>
    </row>
    <row r="40" s="36" customFormat="1" ht="11.25"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226</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226</v>
      </c>
      <c r="B42" s="45" t="s">
        <v>227</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226</v>
      </c>
      <c r="B43" s="45" t="s">
        <v>227</v>
      </c>
      <c r="C43" s="45" t="s">
        <v>228</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483</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484</v>
      </c>
      <c r="AM43" s="150"/>
      <c r="AN43" s="150" t="str">
        <f t="shared" si="1"/>
        <v>Наименование централизованной системы холодного водоснабжения</v>
      </c>
      <c r="AO43" s="150"/>
      <c r="AP43" s="150"/>
      <c r="AQ43" s="42">
        <v>23</v>
      </c>
    </row>
    <row r="44" ht="24" customHeight="1" spans="1:43">
      <c r="A44" s="45" t="s">
        <v>226</v>
      </c>
      <c r="B44" s="45" t="s">
        <v>227</v>
      </c>
      <c r="C44" s="45" t="s">
        <v>228</v>
      </c>
      <c r="D44" s="45" t="s">
        <v>497</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226</v>
      </c>
      <c r="B45" s="45" t="s">
        <v>227</v>
      </c>
      <c r="C45" s="45" t="s">
        <v>228</v>
      </c>
      <c r="D45" s="45" t="s">
        <v>497</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226</v>
      </c>
      <c r="B46" s="45" t="s">
        <v>227</v>
      </c>
      <c r="C46" s="45" t="s">
        <v>228</v>
      </c>
      <c r="D46" s="45" t="s">
        <v>497</v>
      </c>
      <c r="E46" s="1039"/>
      <c r="F46" s="1039"/>
      <c r="G46" s="1039"/>
      <c r="H46" s="1039"/>
      <c r="I46" s="1044"/>
      <c r="J46" s="1044"/>
      <c r="K46" s="228" t="str">
        <f>J45&amp;".1"</f>
        <v>...1.1.1</v>
      </c>
      <c r="L46" s="1040"/>
      <c r="P46" s="92"/>
      <c r="Q46" s="92"/>
      <c r="R46" s="96">
        <v>1</v>
      </c>
      <c r="S46" s="64" t="str">
        <f>$K46</f>
        <v>...1.1.1</v>
      </c>
      <c r="T46" s="1114"/>
      <c r="U46" s="83"/>
      <c r="V46" s="489"/>
      <c r="W46" s="489"/>
      <c r="X46" s="1118"/>
      <c r="Y46" s="1119"/>
      <c r="Z46" s="352" t="s">
        <v>62</v>
      </c>
      <c r="AA46" s="1119"/>
      <c r="AB46" s="352" t="s">
        <v>62</v>
      </c>
      <c r="AC46" s="101"/>
      <c r="AD46" s="101"/>
      <c r="AE46" s="137"/>
      <c r="AF46" s="138"/>
      <c r="AG46" s="139" t="s">
        <v>62</v>
      </c>
      <c r="AH46" s="1123"/>
      <c r="AI46" s="139" t="s">
        <v>19</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226</v>
      </c>
      <c r="B47" s="45" t="s">
        <v>227</v>
      </c>
      <c r="C47" s="45" t="s">
        <v>228</v>
      </c>
      <c r="D47" s="45" t="s">
        <v>497</v>
      </c>
      <c r="E47" s="1039"/>
      <c r="F47" s="1039"/>
      <c r="G47" s="1039"/>
      <c r="H47" s="1039"/>
      <c r="I47" s="1044"/>
      <c r="J47" s="1044"/>
      <c r="K47" s="228"/>
      <c r="L47" s="1040"/>
      <c r="P47" s="92"/>
      <c r="Q47" s="92"/>
      <c r="R47" s="96"/>
      <c r="S47" s="103"/>
      <c r="T47" s="83"/>
      <c r="U47" s="83"/>
      <c r="V47" s="489"/>
      <c r="W47" s="489"/>
      <c r="X47" s="141" t="str">
        <f>Y46&amp;"-"&amp;AA46</f>
        <v>-</v>
      </c>
      <c r="Y47" s="352"/>
      <c r="Z47" s="352"/>
      <c r="AA47" s="352"/>
      <c r="AB47" s="352"/>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226</v>
      </c>
      <c r="B48" s="45" t="s">
        <v>227</v>
      </c>
      <c r="C48" s="45" t="s">
        <v>228</v>
      </c>
      <c r="D48" s="45" t="s">
        <v>497</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226</v>
      </c>
      <c r="B49" s="45" t="s">
        <v>227</v>
      </c>
      <c r="C49" s="45" t="s">
        <v>228</v>
      </c>
      <c r="D49" s="45" t="s">
        <v>497</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226</v>
      </c>
      <c r="B50" s="45" t="s">
        <v>227</v>
      </c>
      <c r="C50" s="45" t="s">
        <v>228</v>
      </c>
      <c r="D50" s="45" t="s">
        <v>497</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226</v>
      </c>
      <c r="B51" s="587" t="s">
        <v>227</v>
      </c>
      <c r="C51" s="587"/>
      <c r="D51" s="587"/>
      <c r="E51" s="1039"/>
      <c r="F51" s="1038"/>
      <c r="G51" s="587"/>
      <c r="H51" s="587"/>
      <c r="I51" s="587"/>
      <c r="J51" s="587"/>
      <c r="K51" s="587"/>
      <c r="L51" s="608"/>
      <c r="M51" s="1045"/>
      <c r="N51" s="1045"/>
      <c r="P51" s="151"/>
      <c r="Q51" s="1068"/>
      <c r="R51" s="151"/>
      <c r="S51" s="1070"/>
      <c r="T51" s="1071" t="s">
        <v>251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226</v>
      </c>
      <c r="B52" s="587"/>
      <c r="C52" s="587"/>
      <c r="D52" s="587"/>
      <c r="E52" s="1038"/>
      <c r="F52" s="587"/>
      <c r="G52" s="587"/>
      <c r="H52" s="587"/>
      <c r="I52" s="587"/>
      <c r="J52" s="587"/>
      <c r="K52" s="587"/>
      <c r="L52" s="608"/>
      <c r="M52" s="1045"/>
      <c r="N52" s="1045"/>
      <c r="P52" s="151"/>
      <c r="Q52" s="1068"/>
      <c r="R52" s="151"/>
      <c r="S52" s="1070"/>
      <c r="T52" s="1071" t="s">
        <v>252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253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483</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484</v>
      </c>
      <c r="AM4" s="150"/>
      <c r="AN4" s="150" t="str">
        <f t="shared" si="0"/>
        <v>Наименование централизованной системы холодного водоснабжения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t="2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251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252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РТ по тарифам</v>
      </c>
      <c r="W27" s="59"/>
      <c r="X27" s="59"/>
      <c r="Y27" s="59"/>
      <c r="Z27" s="59"/>
      <c r="AA27" s="59"/>
      <c r="AB27" s="42"/>
      <c r="AC27" s="59" t="str">
        <f>IF(TITLE_NAME_OR_PR_CHANGE="",IF(TITLE_NAME_OR_PR="","",TITLE_NAME_OR_PR),TITLE_NAME_OR_PR_CHANGE)</f>
        <v>Государственный комитет РТ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108-73/тп-2024</v>
      </c>
      <c r="W29" s="59"/>
      <c r="X29" s="59"/>
      <c r="Y29" s="59"/>
      <c r="Z29" s="59"/>
      <c r="AA29" s="59"/>
      <c r="AB29" s="42"/>
      <c r="AC29" s="59" t="str">
        <f>IF(TITLE_NUMBER_PR_CHANGE="",IF(TITLE_NUMBER_PR="","",TITLE_NUMBER_PR),TITLE_NUMBER_PR_CHANGE)</f>
        <v>108-73/тп-2024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
Республики Татарстан"</v>
      </c>
      <c r="W30" s="59"/>
      <c r="X30" s="59"/>
      <c r="Y30" s="59"/>
      <c r="Z30" s="59"/>
      <c r="AA30" s="59"/>
      <c r="AB30" s="42"/>
      <c r="AC30" s="59" t="str">
        <f>IF(TITLE_IST_PUB_CHANGE="",IF(TITLE_IST_PUB="","",TITLE_IST_PUB),TITLE_IST_PUB_CHANGE)</f>
        <v>"Официальный портал правовой информации
Республики Татарстан"</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108-73/тп-2024</v>
      </c>
      <c r="W33" s="59"/>
      <c r="X33" s="59"/>
      <c r="Y33" s="59"/>
      <c r="Z33" s="59"/>
      <c r="AA33" s="59"/>
      <c r="AB33" s="42"/>
      <c r="AC33" s="59" t="str">
        <f>IF(TITLE_NUMBER_PR_CHANGE="",IF(TITLE_NUMBER_PR="","",TITLE_NUMBER_PR),TITLE_NUMBER_PR_CHANGE)</f>
        <v>108-73/тп-2024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35.7"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494</v>
      </c>
      <c r="W39" s="130" t="s">
        <v>495</v>
      </c>
      <c r="X39" s="130" t="s">
        <v>496</v>
      </c>
      <c r="Y39" s="130" t="s">
        <v>449</v>
      </c>
      <c r="Z39" s="131" t="s">
        <v>450</v>
      </c>
      <c r="AA39" s="132"/>
      <c r="AB39" s="133"/>
      <c r="AC39" s="70" t="s">
        <v>494</v>
      </c>
      <c r="AD39" s="130" t="s">
        <v>495</v>
      </c>
      <c r="AE39" s="130" t="s">
        <v>496</v>
      </c>
      <c r="AF39" s="130" t="s">
        <v>449</v>
      </c>
      <c r="AG39" s="131" t="s">
        <v>450</v>
      </c>
      <c r="AH39" s="132"/>
      <c r="AI39" s="133"/>
      <c r="AJ39" s="134"/>
      <c r="AK39" s="63"/>
      <c r="AQ39" s="42">
        <v>34</v>
      </c>
    </row>
    <row r="40" s="36" customFormat="1"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231</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231</v>
      </c>
      <c r="B42" s="45" t="s">
        <v>232</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231</v>
      </c>
      <c r="B43" s="45" t="s">
        <v>232</v>
      </c>
      <c r="C43" s="45" t="s">
        <v>233</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483</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484</v>
      </c>
      <c r="AM43" s="150"/>
      <c r="AN43" s="150" t="str">
        <f t="shared" si="1"/>
        <v>Наименование централизованной системы холодного водоснабжения</v>
      </c>
      <c r="AO43" s="150"/>
      <c r="AP43" s="150"/>
      <c r="AQ43" s="42">
        <v>23</v>
      </c>
    </row>
    <row r="44" ht="24" customHeight="1" spans="1:43">
      <c r="A44" s="45" t="s">
        <v>231</v>
      </c>
      <c r="B44" s="45" t="s">
        <v>232</v>
      </c>
      <c r="C44" s="45" t="s">
        <v>233</v>
      </c>
      <c r="D44" s="45" t="s">
        <v>498</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231</v>
      </c>
      <c r="B45" s="45" t="s">
        <v>232</v>
      </c>
      <c r="C45" s="45" t="s">
        <v>233</v>
      </c>
      <c r="D45" s="45" t="s">
        <v>498</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231</v>
      </c>
      <c r="B46" s="45" t="s">
        <v>232</v>
      </c>
      <c r="C46" s="45" t="s">
        <v>233</v>
      </c>
      <c r="D46" s="45" t="s">
        <v>498</v>
      </c>
      <c r="E46" s="1039"/>
      <c r="F46" s="1039"/>
      <c r="G46" s="1039"/>
      <c r="H46" s="1039"/>
      <c r="I46" s="1044"/>
      <c r="J46" s="1044"/>
      <c r="K46" s="228" t="str">
        <f>J45&amp;".1"</f>
        <v>...1.1.1</v>
      </c>
      <c r="L46" s="1040"/>
      <c r="P46" s="92"/>
      <c r="Q46" s="92"/>
      <c r="R46" s="96">
        <v>1</v>
      </c>
      <c r="S46" s="64" t="str">
        <f>$K46</f>
        <v>...1.1.1</v>
      </c>
      <c r="T46" s="1114"/>
      <c r="U46" s="83"/>
      <c r="V46" s="101"/>
      <c r="W46" s="101"/>
      <c r="X46" s="137"/>
      <c r="Y46" s="138"/>
      <c r="Z46" s="139" t="s">
        <v>62</v>
      </c>
      <c r="AA46" s="138"/>
      <c r="AB46" s="139" t="s">
        <v>62</v>
      </c>
      <c r="AC46" s="101"/>
      <c r="AD46" s="101"/>
      <c r="AE46" s="137"/>
      <c r="AF46" s="138"/>
      <c r="AG46" s="139" t="s">
        <v>62</v>
      </c>
      <c r="AH46" s="1123"/>
      <c r="AI46" s="139" t="s">
        <v>62</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231</v>
      </c>
      <c r="B47" s="45" t="s">
        <v>232</v>
      </c>
      <c r="C47" s="45" t="s">
        <v>233</v>
      </c>
      <c r="D47" s="45" t="s">
        <v>498</v>
      </c>
      <c r="E47" s="1039"/>
      <c r="F47" s="1039"/>
      <c r="G47" s="1039"/>
      <c r="H47" s="1039"/>
      <c r="I47" s="1044"/>
      <c r="J47" s="1044"/>
      <c r="K47" s="228"/>
      <c r="L47" s="1040"/>
      <c r="P47" s="92"/>
      <c r="Q47" s="92"/>
      <c r="R47" s="96"/>
      <c r="S47" s="103"/>
      <c r="T47" s="83"/>
      <c r="U47" s="83"/>
      <c r="V47" s="102"/>
      <c r="W47" s="102"/>
      <c r="X47" s="141" t="str">
        <f>Y46&amp;"-"&amp;AA46</f>
        <v>-</v>
      </c>
      <c r="Y47" s="142"/>
      <c r="Z47" s="139"/>
      <c r="AA47" s="142"/>
      <c r="AB47" s="139"/>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231</v>
      </c>
      <c r="B48" s="45" t="s">
        <v>232</v>
      </c>
      <c r="C48" s="45" t="s">
        <v>233</v>
      </c>
      <c r="D48" s="45" t="s">
        <v>498</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231</v>
      </c>
      <c r="B49" s="45" t="s">
        <v>232</v>
      </c>
      <c r="C49" s="45" t="s">
        <v>233</v>
      </c>
      <c r="D49" s="45" t="s">
        <v>498</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231</v>
      </c>
      <c r="B50" s="45" t="s">
        <v>232</v>
      </c>
      <c r="C50" s="45" t="s">
        <v>233</v>
      </c>
      <c r="D50" s="45" t="s">
        <v>498</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231</v>
      </c>
      <c r="B51" s="587" t="s">
        <v>232</v>
      </c>
      <c r="C51" s="587"/>
      <c r="D51" s="587"/>
      <c r="E51" s="1039"/>
      <c r="F51" s="1038"/>
      <c r="G51" s="587"/>
      <c r="H51" s="587"/>
      <c r="I51" s="587"/>
      <c r="J51" s="587"/>
      <c r="K51" s="587"/>
      <c r="L51" s="608"/>
      <c r="M51" s="1045"/>
      <c r="N51" s="1045"/>
      <c r="P51" s="151"/>
      <c r="Q51" s="1068"/>
      <c r="R51" s="151"/>
      <c r="S51" s="1070"/>
      <c r="T51" s="1071" t="s">
        <v>251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231</v>
      </c>
      <c r="B52" s="587"/>
      <c r="C52" s="587"/>
      <c r="D52" s="587"/>
      <c r="E52" s="1038"/>
      <c r="F52" s="587"/>
      <c r="G52" s="587"/>
      <c r="H52" s="587"/>
      <c r="I52" s="587"/>
      <c r="J52" s="587"/>
      <c r="K52" s="587"/>
      <c r="L52" s="608"/>
      <c r="M52" s="1045"/>
      <c r="N52" s="1045"/>
      <c r="P52" s="151"/>
      <c r="Q52" s="1068"/>
      <c r="R52" s="151"/>
      <c r="S52" s="1070"/>
      <c r="T52" s="1071" t="s">
        <v>252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253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483</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484</v>
      </c>
      <c r="AM4" s="150"/>
      <c r="AN4" s="150" t="str">
        <f t="shared" si="0"/>
        <v>Наименование централизованной системы холодного водоснабжения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t="2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251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252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РТ по тарифам</v>
      </c>
      <c r="W27" s="59"/>
      <c r="X27" s="59"/>
      <c r="Y27" s="59"/>
      <c r="Z27" s="59"/>
      <c r="AA27" s="59"/>
      <c r="AB27" s="42"/>
      <c r="AC27" s="59" t="str">
        <f>IF(TITLE_NAME_OR_PR_CHANGE="",IF(TITLE_NAME_OR_PR="","",TITLE_NAME_OR_PR),TITLE_NAME_OR_PR_CHANGE)</f>
        <v>Государственный комитет РТ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108-73/тп-2024</v>
      </c>
      <c r="W29" s="59"/>
      <c r="X29" s="59"/>
      <c r="Y29" s="59"/>
      <c r="Z29" s="59"/>
      <c r="AA29" s="59"/>
      <c r="AB29" s="42"/>
      <c r="AC29" s="59" t="str">
        <f>IF(TITLE_NUMBER_PR_CHANGE="",IF(TITLE_NUMBER_PR="","",TITLE_NUMBER_PR),TITLE_NUMBER_PR_CHANGE)</f>
        <v>108-73/тп-2024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
Республики Татарстан"</v>
      </c>
      <c r="W30" s="59"/>
      <c r="X30" s="59"/>
      <c r="Y30" s="59"/>
      <c r="Z30" s="59"/>
      <c r="AA30" s="59"/>
      <c r="AB30" s="42"/>
      <c r="AC30" s="59" t="str">
        <f>IF(TITLE_IST_PUB_CHANGE="",IF(TITLE_IST_PUB="","",TITLE_IST_PUB),TITLE_IST_PUB_CHANGE)</f>
        <v>"Официальный портал правовой информации
Республики Татарстан"</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108-73/тп-2024</v>
      </c>
      <c r="W33" s="59"/>
      <c r="X33" s="59"/>
      <c r="Y33" s="59"/>
      <c r="Z33" s="59"/>
      <c r="AA33" s="59"/>
      <c r="AB33" s="42"/>
      <c r="AC33" s="59" t="str">
        <f>IF(TITLE_NUMBER_PR_CHANGE="",IF(TITLE_NUMBER_PR="","",TITLE_NUMBER_PR),TITLE_NUMBER_PR_CHANGE)</f>
        <v>108-73/тп-2024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35.7"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494</v>
      </c>
      <c r="W39" s="130" t="s">
        <v>495</v>
      </c>
      <c r="X39" s="130" t="s">
        <v>496</v>
      </c>
      <c r="Y39" s="130" t="s">
        <v>449</v>
      </c>
      <c r="Z39" s="131" t="s">
        <v>450</v>
      </c>
      <c r="AA39" s="132"/>
      <c r="AB39" s="133"/>
      <c r="AC39" s="70" t="s">
        <v>494</v>
      </c>
      <c r="AD39" s="130" t="s">
        <v>495</v>
      </c>
      <c r="AE39" s="130" t="s">
        <v>496</v>
      </c>
      <c r="AF39" s="130" t="s">
        <v>449</v>
      </c>
      <c r="AG39" s="131" t="s">
        <v>450</v>
      </c>
      <c r="AH39" s="132"/>
      <c r="AI39" s="133"/>
      <c r="AJ39" s="134"/>
      <c r="AK39" s="63"/>
      <c r="AQ39" s="42">
        <v>34</v>
      </c>
    </row>
    <row r="40" s="36" customFormat="1"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236</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236</v>
      </c>
      <c r="B42" s="45" t="s">
        <v>237</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236</v>
      </c>
      <c r="B43" s="45" t="s">
        <v>237</v>
      </c>
      <c r="C43" s="45" t="s">
        <v>238</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483</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484</v>
      </c>
      <c r="AM43" s="150"/>
      <c r="AN43" s="150" t="str">
        <f t="shared" si="1"/>
        <v>Наименование централизованной системы холодного водоснабжения</v>
      </c>
      <c r="AO43" s="150"/>
      <c r="AP43" s="150"/>
      <c r="AQ43" s="42">
        <v>23</v>
      </c>
    </row>
    <row r="44" ht="24" customHeight="1" spans="1:43">
      <c r="A44" s="45" t="s">
        <v>236</v>
      </c>
      <c r="B44" s="45" t="s">
        <v>237</v>
      </c>
      <c r="C44" s="45" t="s">
        <v>238</v>
      </c>
      <c r="D44" s="45" t="s">
        <v>499</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236</v>
      </c>
      <c r="B45" s="45" t="s">
        <v>237</v>
      </c>
      <c r="C45" s="45" t="s">
        <v>238</v>
      </c>
      <c r="D45" s="45" t="s">
        <v>499</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236</v>
      </c>
      <c r="B46" s="45" t="s">
        <v>237</v>
      </c>
      <c r="C46" s="45" t="s">
        <v>238</v>
      </c>
      <c r="D46" s="45" t="s">
        <v>499</v>
      </c>
      <c r="E46" s="1039"/>
      <c r="F46" s="1039"/>
      <c r="G46" s="1039"/>
      <c r="H46" s="1039"/>
      <c r="I46" s="1044"/>
      <c r="J46" s="1044"/>
      <c r="K46" s="228" t="str">
        <f>J45&amp;".1"</f>
        <v>...1.1.1</v>
      </c>
      <c r="L46" s="1040"/>
      <c r="P46" s="92"/>
      <c r="Q46" s="92"/>
      <c r="R46" s="96">
        <v>1</v>
      </c>
      <c r="S46" s="64" t="str">
        <f>$K46</f>
        <v>...1.1.1</v>
      </c>
      <c r="T46" s="1114"/>
      <c r="U46" s="83"/>
      <c r="V46" s="101"/>
      <c r="W46" s="101"/>
      <c r="X46" s="137"/>
      <c r="Y46" s="138"/>
      <c r="Z46" s="139" t="s">
        <v>62</v>
      </c>
      <c r="AA46" s="138"/>
      <c r="AB46" s="139" t="s">
        <v>62</v>
      </c>
      <c r="AC46" s="101"/>
      <c r="AD46" s="101"/>
      <c r="AE46" s="137"/>
      <c r="AF46" s="138"/>
      <c r="AG46" s="139" t="s">
        <v>62</v>
      </c>
      <c r="AH46" s="1123"/>
      <c r="AI46" s="139" t="s">
        <v>62</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236</v>
      </c>
      <c r="B47" s="45" t="s">
        <v>237</v>
      </c>
      <c r="C47" s="45" t="s">
        <v>238</v>
      </c>
      <c r="D47" s="45" t="s">
        <v>499</v>
      </c>
      <c r="E47" s="1039"/>
      <c r="F47" s="1039"/>
      <c r="G47" s="1039"/>
      <c r="H47" s="1039"/>
      <c r="I47" s="1044"/>
      <c r="J47" s="1044"/>
      <c r="K47" s="228"/>
      <c r="L47" s="1040"/>
      <c r="P47" s="92"/>
      <c r="Q47" s="92"/>
      <c r="R47" s="96"/>
      <c r="S47" s="103"/>
      <c r="T47" s="83"/>
      <c r="U47" s="83"/>
      <c r="V47" s="102"/>
      <c r="W47" s="102"/>
      <c r="X47" s="141" t="str">
        <f>Y46&amp;"-"&amp;AA46</f>
        <v>-</v>
      </c>
      <c r="Y47" s="142"/>
      <c r="Z47" s="139"/>
      <c r="AA47" s="142"/>
      <c r="AB47" s="139"/>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236</v>
      </c>
      <c r="B48" s="45" t="s">
        <v>237</v>
      </c>
      <c r="C48" s="45" t="s">
        <v>238</v>
      </c>
      <c r="D48" s="45" t="s">
        <v>499</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236</v>
      </c>
      <c r="B49" s="45" t="s">
        <v>237</v>
      </c>
      <c r="C49" s="45" t="s">
        <v>238</v>
      </c>
      <c r="D49" s="45" t="s">
        <v>499</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236</v>
      </c>
      <c r="B50" s="45" t="s">
        <v>237</v>
      </c>
      <c r="C50" s="45" t="s">
        <v>238</v>
      </c>
      <c r="D50" s="45" t="s">
        <v>499</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236</v>
      </c>
      <c r="B51" s="587" t="s">
        <v>237</v>
      </c>
      <c r="C51" s="587"/>
      <c r="D51" s="587"/>
      <c r="E51" s="1039"/>
      <c r="F51" s="1038"/>
      <c r="G51" s="587"/>
      <c r="H51" s="587"/>
      <c r="I51" s="587"/>
      <c r="J51" s="587"/>
      <c r="K51" s="587"/>
      <c r="L51" s="608"/>
      <c r="M51" s="1045"/>
      <c r="N51" s="1045"/>
      <c r="P51" s="151"/>
      <c r="Q51" s="1068"/>
      <c r="R51" s="151"/>
      <c r="S51" s="1070"/>
      <c r="T51" s="1071" t="s">
        <v>251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236</v>
      </c>
      <c r="B52" s="587"/>
      <c r="C52" s="587"/>
      <c r="D52" s="587"/>
      <c r="E52" s="1038"/>
      <c r="F52" s="587"/>
      <c r="G52" s="587"/>
      <c r="H52" s="587"/>
      <c r="I52" s="587"/>
      <c r="J52" s="587"/>
      <c r="K52" s="587"/>
      <c r="L52" s="608"/>
      <c r="M52" s="1045"/>
      <c r="N52" s="1045"/>
      <c r="P52" s="151"/>
      <c r="Q52" s="1068"/>
      <c r="R52" s="151"/>
      <c r="S52" s="1070"/>
      <c r="T52" s="1071" t="s">
        <v>252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253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483</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484</v>
      </c>
      <c r="AM4" s="150"/>
      <c r="AN4" s="150" t="str">
        <f t="shared" si="0"/>
        <v>Наименование централизованной системы холодного водоснабжения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t="2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251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252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РТ по тарифам</v>
      </c>
      <c r="W27" s="59"/>
      <c r="X27" s="59"/>
      <c r="Y27" s="59"/>
      <c r="Z27" s="59"/>
      <c r="AA27" s="59"/>
      <c r="AB27" s="42"/>
      <c r="AC27" s="59" t="str">
        <f>IF(TITLE_NAME_OR_PR_CHANGE="",IF(TITLE_NAME_OR_PR="","",TITLE_NAME_OR_PR),TITLE_NAME_OR_PR_CHANGE)</f>
        <v>Государственный комитет РТ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108-73/тп-2024</v>
      </c>
      <c r="W29" s="59"/>
      <c r="X29" s="59"/>
      <c r="Y29" s="59"/>
      <c r="Z29" s="59"/>
      <c r="AA29" s="59"/>
      <c r="AB29" s="42"/>
      <c r="AC29" s="59" t="str">
        <f>IF(TITLE_NUMBER_PR_CHANGE="",IF(TITLE_NUMBER_PR="","",TITLE_NUMBER_PR),TITLE_NUMBER_PR_CHANGE)</f>
        <v>108-73/тп-2024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
Республики Татарстан"</v>
      </c>
      <c r="W30" s="59"/>
      <c r="X30" s="59"/>
      <c r="Y30" s="59"/>
      <c r="Z30" s="59"/>
      <c r="AA30" s="59"/>
      <c r="AB30" s="42"/>
      <c r="AC30" s="59" t="str">
        <f>IF(TITLE_IST_PUB_CHANGE="",IF(TITLE_IST_PUB="","",TITLE_IST_PUB),TITLE_IST_PUB_CHANGE)</f>
        <v>"Официальный портал правовой информации
Республики Татарстан"</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108-73/тп-2024</v>
      </c>
      <c r="W33" s="59"/>
      <c r="X33" s="59"/>
      <c r="Y33" s="59"/>
      <c r="Z33" s="59"/>
      <c r="AA33" s="59"/>
      <c r="AB33" s="42"/>
      <c r="AC33" s="59" t="str">
        <f>IF(TITLE_NUMBER_PR_CHANGE="",IF(TITLE_NUMBER_PR="","",TITLE_NUMBER_PR),TITLE_NUMBER_PR_CHANGE)</f>
        <v>108-73/тп-2024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35.7"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494</v>
      </c>
      <c r="W39" s="130" t="s">
        <v>495</v>
      </c>
      <c r="X39" s="130" t="s">
        <v>496</v>
      </c>
      <c r="Y39" s="130" t="s">
        <v>449</v>
      </c>
      <c r="Z39" s="131" t="s">
        <v>450</v>
      </c>
      <c r="AA39" s="132"/>
      <c r="AB39" s="133"/>
      <c r="AC39" s="70" t="s">
        <v>494</v>
      </c>
      <c r="AD39" s="130" t="s">
        <v>495</v>
      </c>
      <c r="AE39" s="130" t="s">
        <v>496</v>
      </c>
      <c r="AF39" s="130" t="s">
        <v>449</v>
      </c>
      <c r="AG39" s="131" t="s">
        <v>450</v>
      </c>
      <c r="AH39" s="132"/>
      <c r="AI39" s="133"/>
      <c r="AJ39" s="134"/>
      <c r="AK39" s="63"/>
      <c r="AQ39" s="42">
        <v>34</v>
      </c>
    </row>
    <row r="40" s="36" customFormat="1"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241</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241</v>
      </c>
      <c r="B42" s="45" t="s">
        <v>242</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241</v>
      </c>
      <c r="B43" s="45" t="s">
        <v>242</v>
      </c>
      <c r="C43" s="45" t="s">
        <v>243</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483</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484</v>
      </c>
      <c r="AM43" s="150"/>
      <c r="AN43" s="150" t="str">
        <f t="shared" si="1"/>
        <v>Наименование централизованной системы холодного водоснабжения</v>
      </c>
      <c r="AO43" s="150"/>
      <c r="AP43" s="150"/>
      <c r="AQ43" s="42">
        <v>23</v>
      </c>
    </row>
    <row r="44" ht="24" customHeight="1" spans="1:43">
      <c r="A44" s="45" t="s">
        <v>241</v>
      </c>
      <c r="B44" s="45" t="s">
        <v>242</v>
      </c>
      <c r="C44" s="45" t="s">
        <v>243</v>
      </c>
      <c r="D44" s="45" t="s">
        <v>500</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241</v>
      </c>
      <c r="B45" s="45" t="s">
        <v>242</v>
      </c>
      <c r="C45" s="45" t="s">
        <v>243</v>
      </c>
      <c r="D45" s="45" t="s">
        <v>500</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241</v>
      </c>
      <c r="B46" s="45" t="s">
        <v>242</v>
      </c>
      <c r="C46" s="45" t="s">
        <v>243</v>
      </c>
      <c r="D46" s="45" t="s">
        <v>500</v>
      </c>
      <c r="E46" s="1039"/>
      <c r="F46" s="1039"/>
      <c r="G46" s="1039"/>
      <c r="H46" s="1039"/>
      <c r="I46" s="1044"/>
      <c r="J46" s="1044"/>
      <c r="K46" s="228" t="str">
        <f>J45&amp;".1"</f>
        <v>...1.1.1</v>
      </c>
      <c r="L46" s="1040"/>
      <c r="P46" s="92"/>
      <c r="Q46" s="92"/>
      <c r="R46" s="96">
        <v>1</v>
      </c>
      <c r="S46" s="64" t="str">
        <f>$K46</f>
        <v>...1.1.1</v>
      </c>
      <c r="T46" s="1114"/>
      <c r="U46" s="83"/>
      <c r="V46" s="101"/>
      <c r="W46" s="101"/>
      <c r="X46" s="137"/>
      <c r="Y46" s="138"/>
      <c r="Z46" s="139" t="s">
        <v>62</v>
      </c>
      <c r="AA46" s="138"/>
      <c r="AB46" s="139" t="s">
        <v>62</v>
      </c>
      <c r="AC46" s="101"/>
      <c r="AD46" s="101"/>
      <c r="AE46" s="137"/>
      <c r="AF46" s="138"/>
      <c r="AG46" s="139" t="s">
        <v>62</v>
      </c>
      <c r="AH46" s="1123"/>
      <c r="AI46" s="139" t="s">
        <v>62</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241</v>
      </c>
      <c r="B47" s="45" t="s">
        <v>242</v>
      </c>
      <c r="C47" s="45" t="s">
        <v>243</v>
      </c>
      <c r="D47" s="45" t="s">
        <v>500</v>
      </c>
      <c r="E47" s="1039"/>
      <c r="F47" s="1039"/>
      <c r="G47" s="1039"/>
      <c r="H47" s="1039"/>
      <c r="I47" s="1044"/>
      <c r="J47" s="1044"/>
      <c r="K47" s="228"/>
      <c r="L47" s="1040"/>
      <c r="P47" s="92"/>
      <c r="Q47" s="92"/>
      <c r="R47" s="96"/>
      <c r="S47" s="103"/>
      <c r="T47" s="83"/>
      <c r="U47" s="83"/>
      <c r="V47" s="102"/>
      <c r="W47" s="102"/>
      <c r="X47" s="141" t="str">
        <f>Y46&amp;"-"&amp;AA46</f>
        <v>-</v>
      </c>
      <c r="Y47" s="142"/>
      <c r="Z47" s="139"/>
      <c r="AA47" s="142"/>
      <c r="AB47" s="139"/>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241</v>
      </c>
      <c r="B48" s="45" t="s">
        <v>242</v>
      </c>
      <c r="C48" s="45" t="s">
        <v>243</v>
      </c>
      <c r="D48" s="45" t="s">
        <v>500</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241</v>
      </c>
      <c r="B49" s="45" t="s">
        <v>242</v>
      </c>
      <c r="C49" s="45" t="s">
        <v>243</v>
      </c>
      <c r="D49" s="45" t="s">
        <v>500</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241</v>
      </c>
      <c r="B50" s="45" t="s">
        <v>242</v>
      </c>
      <c r="C50" s="45" t="s">
        <v>243</v>
      </c>
      <c r="D50" s="45" t="s">
        <v>500</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241</v>
      </c>
      <c r="B51" s="587" t="s">
        <v>242</v>
      </c>
      <c r="C51" s="587"/>
      <c r="D51" s="587"/>
      <c r="E51" s="1039"/>
      <c r="F51" s="1038"/>
      <c r="G51" s="587"/>
      <c r="H51" s="587"/>
      <c r="I51" s="587"/>
      <c r="J51" s="587"/>
      <c r="K51" s="587"/>
      <c r="L51" s="608"/>
      <c r="M51" s="1045"/>
      <c r="N51" s="1045"/>
      <c r="P51" s="151"/>
      <c r="Q51" s="1068"/>
      <c r="R51" s="151"/>
      <c r="S51" s="1070"/>
      <c r="T51" s="1071" t="s">
        <v>251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241</v>
      </c>
      <c r="B52" s="587"/>
      <c r="C52" s="587"/>
      <c r="D52" s="587"/>
      <c r="E52" s="1038"/>
      <c r="F52" s="587"/>
      <c r="G52" s="587"/>
      <c r="H52" s="587"/>
      <c r="I52" s="587"/>
      <c r="J52" s="587"/>
      <c r="K52" s="587"/>
      <c r="L52" s="608"/>
      <c r="M52" s="1045"/>
      <c r="N52" s="1045"/>
      <c r="P52" s="151"/>
      <c r="Q52" s="1068"/>
      <c r="R52" s="151"/>
      <c r="S52" s="1070"/>
      <c r="T52" s="1071" t="s">
        <v>252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253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64"/>
  <sheetViews>
    <sheetView showGridLines="0" zoomScale="90" zoomScaleNormal="90" workbookViewId="0">
      <pane xSplit="27" ySplit="41" topLeftCell="AB42" activePane="bottomRight" state="frozen"/>
      <selection/>
      <selection pane="topRight"/>
      <selection pane="bottomLeft"/>
      <selection pane="bottomRight" activeCell="A1" sqref="A1"/>
    </sheetView>
  </sheetViews>
  <sheetFormatPr defaultColWidth="10.5714285714286" defaultRowHeight="14.25" customHeight="1"/>
  <cols>
    <col min="1" max="3" width="10.1428571428571" style="42" hidden="1" customWidth="1"/>
    <col min="4" max="4" width="11.847619047619" style="42" hidden="1" customWidth="1"/>
    <col min="5" max="11" width="10.1428571428571" style="42" hidden="1" customWidth="1"/>
    <col min="12" max="12" width="10.1428571428571" style="85" hidden="1" customWidth="1"/>
    <col min="13" max="15" width="10.1428571428571" style="39" hidden="1" customWidth="1"/>
    <col min="16" max="16" width="3" style="38" customWidth="1"/>
    <col min="17" max="17" width="3" style="1037" customWidth="1"/>
    <col min="18" max="18" width="3" style="40" customWidth="1"/>
    <col min="19" max="19" width="12" style="41" customWidth="1"/>
    <col min="20" max="20" width="31" style="42" customWidth="1"/>
    <col min="21" max="21" width="0.142857142857143" style="42" customWidth="1"/>
    <col min="22" max="23" width="21.7142857142857" style="42" hidden="1" customWidth="1"/>
    <col min="24" max="24" width="11.7142857142857" style="42" hidden="1" customWidth="1"/>
    <col min="25" max="25" width="3.71428571428571" style="42" hidden="1" customWidth="1"/>
    <col min="26" max="26" width="11.7142857142857" style="42" hidden="1" customWidth="1"/>
    <col min="27" max="27" width="8.57142857142857" style="42" hidden="1" customWidth="1"/>
    <col min="28" max="28" width="27" style="42" customWidth="1"/>
    <col min="29" max="29" width="24.5714285714286" style="42" customWidth="1"/>
    <col min="30" max="31" width="21"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0.75" hidden="1" customHeight="1" spans="43:43">
      <c r="AQ1" s="42" t="s">
        <v>14</v>
      </c>
    </row>
    <row r="2" ht="21" hidden="1" customHeight="1" spans="1:43">
      <c r="A2" s="499"/>
      <c r="B2" s="499"/>
      <c r="C2" s="499"/>
      <c r="D2" s="499"/>
      <c r="E2" s="1129">
        <v>1</v>
      </c>
      <c r="F2" s="499"/>
      <c r="G2" s="499"/>
      <c r="H2" s="499"/>
      <c r="I2" s="499"/>
      <c r="J2" s="499"/>
      <c r="K2" s="499"/>
      <c r="L2" s="533"/>
      <c r="M2" s="41"/>
      <c r="N2" s="41"/>
      <c r="O2" s="41"/>
      <c r="Q2" s="263"/>
      <c r="R2" s="81"/>
      <c r="S2" s="64" t="e">
        <f>INDEX(PT_DIFFERENTIATION_NUM_NTAR,MATCH(A2,PT_DIFFERENTIATION_NTAR_ID,0))</f>
        <v>#N/A</v>
      </c>
      <c r="T2" s="82" t="s">
        <v>125</v>
      </c>
      <c r="U2" s="83"/>
      <c r="V2" s="1047"/>
      <c r="W2" s="1047"/>
      <c r="X2" s="1047"/>
      <c r="Y2" s="1047"/>
      <c r="Z2" s="1047"/>
      <c r="AA2" s="1075"/>
      <c r="AB2" s="1047"/>
      <c r="AC2" s="1047" t="e">
        <f>INDEX(PT_DIFFERENTIATION_NTAR,MATCH(A2,PT_DIFFERENTIATION_NTAR_ID,0))</f>
        <v>#N/A</v>
      </c>
      <c r="AD2" s="1047"/>
      <c r="AE2" s="1047"/>
      <c r="AF2" s="1047"/>
      <c r="AG2" s="1047"/>
      <c r="AH2" s="1047"/>
      <c r="AI2" s="1047"/>
      <c r="AJ2" s="1075"/>
      <c r="AK2" s="135" t="s">
        <v>401</v>
      </c>
      <c r="AM2" s="150"/>
      <c r="AN2" s="150" t="str">
        <f t="shared" ref="AN2:AN14" si="0">IF(T2="","",T2)</f>
        <v>Наименование тарифа</v>
      </c>
      <c r="AO2" s="150"/>
      <c r="AP2" s="150"/>
      <c r="AQ2" s="42">
        <v>0</v>
      </c>
    </row>
    <row r="3" ht="21" hidden="1" customHeight="1" spans="1:43">
      <c r="A3" s="499"/>
      <c r="B3" s="499"/>
      <c r="C3" s="499"/>
      <c r="D3" s="499"/>
      <c r="E3" s="1130"/>
      <c r="F3" s="1129">
        <v>1</v>
      </c>
      <c r="G3" s="499"/>
      <c r="H3" s="499"/>
      <c r="I3" s="499"/>
      <c r="J3" s="499"/>
      <c r="K3" s="499"/>
      <c r="L3" s="533"/>
      <c r="M3" s="41"/>
      <c r="N3" s="41"/>
      <c r="O3" s="41"/>
      <c r="P3" s="47"/>
      <c r="Q3" s="1048"/>
      <c r="R3" s="87"/>
      <c r="S3" s="64" t="e">
        <f>INDEX(PT_DIFFERENTIATION_NUM_TER,MATCH(B3,PT_DIFFERENTIATION_TER_ID,0))</f>
        <v>#N/A</v>
      </c>
      <c r="T3" s="88" t="s">
        <v>402</v>
      </c>
      <c r="U3" s="83"/>
      <c r="V3" s="1047"/>
      <c r="W3" s="1047"/>
      <c r="X3" s="1047"/>
      <c r="Y3" s="1047"/>
      <c r="Z3" s="1047"/>
      <c r="AA3" s="1075"/>
      <c r="AB3" s="1047"/>
      <c r="AC3" s="1047"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2.5" hidden="1" customHeight="1" spans="1:43">
      <c r="A4" s="499"/>
      <c r="B4" s="499"/>
      <c r="C4" s="499"/>
      <c r="D4" s="499"/>
      <c r="E4" s="1130"/>
      <c r="F4" s="1130"/>
      <c r="G4" s="1129">
        <v>1</v>
      </c>
      <c r="H4" s="499"/>
      <c r="I4" s="499"/>
      <c r="J4" s="499"/>
      <c r="K4" s="499"/>
      <c r="L4" s="533"/>
      <c r="M4" s="41"/>
      <c r="N4" s="41"/>
      <c r="O4" s="41"/>
      <c r="P4" s="1041"/>
      <c r="Q4" s="1048"/>
      <c r="R4" s="87"/>
      <c r="S4" s="64" t="e">
        <f>INDEX(PT_DIFFERENTIATION_NUM_CS,MATCH(C4,PT_DIFFERENTIATION_CS_ID,0))</f>
        <v>#N/A</v>
      </c>
      <c r="T4" s="90" t="s">
        <v>404</v>
      </c>
      <c r="U4" s="83"/>
      <c r="V4" s="1047"/>
      <c r="W4" s="1047"/>
      <c r="X4" s="1047"/>
      <c r="Y4" s="1047"/>
      <c r="Z4" s="1047"/>
      <c r="AA4" s="1075"/>
      <c r="AB4" s="1047"/>
      <c r="AC4" s="1047" t="e">
        <f>INDEX(PT_DIFFERENTIATION_CS,MATCH(C4,PT_DIFFERENTIATION_CS_ID,0))</f>
        <v>#N/A</v>
      </c>
      <c r="AD4" s="1047"/>
      <c r="AE4" s="1047"/>
      <c r="AF4" s="1047"/>
      <c r="AG4" s="1047"/>
      <c r="AH4" s="1047"/>
      <c r="AI4" s="1047"/>
      <c r="AJ4" s="1075"/>
      <c r="AK4" s="135" t="s">
        <v>405</v>
      </c>
      <c r="AM4" s="150"/>
      <c r="AN4" s="150" t="str">
        <f t="shared" si="0"/>
        <v>Наименование системы теплоснабжения </v>
      </c>
      <c r="AO4" s="150"/>
      <c r="AP4" s="150"/>
      <c r="AQ4" s="42">
        <v>0</v>
      </c>
    </row>
    <row r="5" ht="21" hidden="1" customHeight="1" spans="1:43">
      <c r="A5" s="499"/>
      <c r="B5" s="499"/>
      <c r="C5" s="499"/>
      <c r="D5" s="499"/>
      <c r="E5" s="1130"/>
      <c r="F5" s="1130"/>
      <c r="G5" s="1130"/>
      <c r="H5" s="1129">
        <v>1</v>
      </c>
      <c r="I5" s="499"/>
      <c r="J5" s="499"/>
      <c r="K5" s="499"/>
      <c r="L5" s="533"/>
      <c r="M5" s="41"/>
      <c r="N5" s="41"/>
      <c r="O5" s="41"/>
      <c r="P5" s="1041"/>
      <c r="Q5" s="1048"/>
      <c r="R5" s="87"/>
      <c r="S5" s="64" t="e">
        <f>INDEX(PT_DIFFERENTIATION_NUM_IST_TE,MATCH(D5,PT_DIFFERENTIATION_IST_TE_ID,0))</f>
        <v>#N/A</v>
      </c>
      <c r="T5" s="91" t="s">
        <v>406</v>
      </c>
      <c r="U5" s="83"/>
      <c r="V5" s="1047"/>
      <c r="W5" s="1047"/>
      <c r="X5" s="1047"/>
      <c r="Y5" s="1047"/>
      <c r="Z5" s="1047"/>
      <c r="AA5" s="1075"/>
      <c r="AB5" s="1047"/>
      <c r="AC5" s="1047" t="e">
        <f>INDEX(PT_DIFFERENTIATION_IST_TE,MATCH(D5,PT_DIFFERENTIATION_IST_TE_ID,0))</f>
        <v>#N/A</v>
      </c>
      <c r="AD5" s="1047"/>
      <c r="AE5" s="1047"/>
      <c r="AF5" s="1047"/>
      <c r="AG5" s="1047"/>
      <c r="AH5" s="1047"/>
      <c r="AI5" s="1047"/>
      <c r="AJ5" s="1075"/>
      <c r="AK5" s="135" t="s">
        <v>407</v>
      </c>
      <c r="AM5" s="150"/>
      <c r="AN5" s="150" t="str">
        <f t="shared" si="0"/>
        <v>Источник тепловой энергии  </v>
      </c>
      <c r="AO5" s="150"/>
      <c r="AP5" s="150"/>
      <c r="AQ5" s="42">
        <v>0</v>
      </c>
    </row>
    <row r="6" s="43" customFormat="1" ht="0.75" hidden="1" customHeight="1" spans="1:43">
      <c r="A6" s="1131"/>
      <c r="B6" s="1131"/>
      <c r="C6" s="1131"/>
      <c r="D6" s="1131"/>
      <c r="E6" s="1130"/>
      <c r="F6" s="1130"/>
      <c r="G6" s="1130"/>
      <c r="H6" s="1130"/>
      <c r="I6" s="63" t="e">
        <f>S5&amp;".1"</f>
        <v>#N/A</v>
      </c>
      <c r="J6" s="1131"/>
      <c r="K6" s="1131"/>
      <c r="L6" s="1133" t="s">
        <v>408</v>
      </c>
      <c r="M6" s="73"/>
      <c r="N6" s="73"/>
      <c r="O6" s="73"/>
      <c r="P6" s="92">
        <v>1</v>
      </c>
      <c r="Q6" s="92"/>
      <c r="R6" s="93"/>
      <c r="S6" s="329"/>
      <c r="T6" s="1053"/>
      <c r="U6" s="1051"/>
      <c r="V6" s="1052"/>
      <c r="W6" s="1052"/>
      <c r="X6" s="1052"/>
      <c r="Y6" s="1052"/>
      <c r="Z6" s="1052"/>
      <c r="AA6" s="1077"/>
      <c r="AB6" s="1052"/>
      <c r="AC6" s="1052"/>
      <c r="AD6" s="1052"/>
      <c r="AE6" s="1052"/>
      <c r="AF6" s="1052"/>
      <c r="AG6" s="1052"/>
      <c r="AH6" s="1052"/>
      <c r="AI6" s="1052"/>
      <c r="AJ6" s="1077"/>
      <c r="AK6" s="981"/>
      <c r="AM6" s="150"/>
      <c r="AN6" s="150" t="str">
        <f t="shared" si="0"/>
        <v/>
      </c>
      <c r="AO6" s="150"/>
      <c r="AP6" s="150"/>
      <c r="AQ6" s="43">
        <v>0</v>
      </c>
    </row>
    <row r="7" s="43" customFormat="1" ht="0.75" hidden="1" customHeight="1" spans="1:43">
      <c r="A7" s="1131"/>
      <c r="B7" s="1131"/>
      <c r="C7" s="1131"/>
      <c r="D7" s="1131"/>
      <c r="E7" s="1130"/>
      <c r="F7" s="1130"/>
      <c r="G7" s="1130"/>
      <c r="H7" s="1130"/>
      <c r="I7" s="125"/>
      <c r="J7" s="63" t="e">
        <f>S5&amp;".1"</f>
        <v>#N/A</v>
      </c>
      <c r="K7" s="1131"/>
      <c r="L7" s="1133"/>
      <c r="M7" s="73"/>
      <c r="N7" s="73"/>
      <c r="O7" s="73"/>
      <c r="P7" s="92"/>
      <c r="Q7" s="92">
        <v>1</v>
      </c>
      <c r="R7" s="96"/>
      <c r="S7" s="329"/>
      <c r="T7" s="1054"/>
      <c r="U7" s="1051"/>
      <c r="V7" s="1052"/>
      <c r="W7" s="1052"/>
      <c r="X7" s="1052"/>
      <c r="Y7" s="1052"/>
      <c r="Z7" s="1052"/>
      <c r="AA7" s="1077"/>
      <c r="AB7" s="1052"/>
      <c r="AC7" s="1052"/>
      <c r="AD7" s="1052"/>
      <c r="AE7" s="1052"/>
      <c r="AF7" s="1052"/>
      <c r="AG7" s="1052"/>
      <c r="AH7" s="1052"/>
      <c r="AI7" s="1052"/>
      <c r="AJ7" s="1077"/>
      <c r="AK7" s="981"/>
      <c r="AM7" s="150"/>
      <c r="AN7" s="150" t="str">
        <f t="shared" si="0"/>
        <v/>
      </c>
      <c r="AO7" s="150"/>
      <c r="AP7" s="150"/>
      <c r="AQ7" s="43">
        <v>0</v>
      </c>
    </row>
    <row r="8" ht="21" hidden="1" customHeight="1" spans="1:43">
      <c r="A8" s="499"/>
      <c r="B8" s="499"/>
      <c r="C8" s="499"/>
      <c r="D8" s="499"/>
      <c r="E8" s="1130"/>
      <c r="F8" s="1130"/>
      <c r="G8" s="1130"/>
      <c r="H8" s="1130"/>
      <c r="I8" s="125"/>
      <c r="J8" s="125"/>
      <c r="K8" s="63" t="e">
        <f>S5&amp;".1"</f>
        <v>#N/A</v>
      </c>
      <c r="L8" s="533"/>
      <c r="P8" s="92"/>
      <c r="Q8" s="92"/>
      <c r="R8" s="1055">
        <v>1</v>
      </c>
      <c r="S8" s="1056" t="e">
        <f>$K8</f>
        <v>#N/A</v>
      </c>
      <c r="T8" s="1137"/>
      <c r="U8" s="83"/>
      <c r="V8" s="101"/>
      <c r="W8" s="137"/>
      <c r="X8" s="138"/>
      <c r="Y8" s="139" t="s">
        <v>62</v>
      </c>
      <c r="Z8" s="138"/>
      <c r="AA8" s="139" t="s">
        <v>62</v>
      </c>
      <c r="AB8" s="1057"/>
      <c r="AC8" s="1092" t="s">
        <v>28</v>
      </c>
      <c r="AD8" s="101"/>
      <c r="AE8" s="137"/>
      <c r="AF8" s="138"/>
      <c r="AG8" s="139" t="s">
        <v>62</v>
      </c>
      <c r="AH8" s="138"/>
      <c r="AI8" s="139" t="s">
        <v>62</v>
      </c>
      <c r="AJ8" s="1106"/>
      <c r="AK8" s="140" t="s">
        <v>466</v>
      </c>
      <c r="AL8" s="43" t="e">
        <f>STRCHECKDATE(#REF!)</f>
        <v>#NAME?</v>
      </c>
      <c r="AM8" s="150"/>
      <c r="AN8" s="150" t="str">
        <f t="shared" si="0"/>
        <v/>
      </c>
      <c r="AO8" s="150"/>
      <c r="AP8" s="150"/>
      <c r="AQ8" s="42">
        <v>0</v>
      </c>
    </row>
    <row r="9" ht="11.25" hidden="1" customHeight="1" spans="1:43">
      <c r="A9" s="499"/>
      <c r="B9" s="499"/>
      <c r="C9" s="499"/>
      <c r="D9" s="499"/>
      <c r="E9" s="1130"/>
      <c r="F9" s="1130"/>
      <c r="G9" s="1130"/>
      <c r="H9" s="1130"/>
      <c r="I9" s="125"/>
      <c r="J9" s="63"/>
      <c r="K9" s="499"/>
      <c r="L9" s="533"/>
      <c r="P9" s="92"/>
      <c r="Q9" s="92"/>
      <c r="R9" s="93"/>
      <c r="S9" s="104"/>
      <c r="T9" s="107" t="s">
        <v>470</v>
      </c>
      <c r="U9" s="106"/>
      <c r="V9" s="106"/>
      <c r="W9" s="106"/>
      <c r="X9" s="106"/>
      <c r="Y9" s="106"/>
      <c r="Z9" s="106"/>
      <c r="AA9" s="106"/>
      <c r="AB9" s="106"/>
      <c r="AC9" s="106"/>
      <c r="AD9" s="106"/>
      <c r="AE9" s="106"/>
      <c r="AF9" s="106"/>
      <c r="AG9" s="106"/>
      <c r="AH9" s="106"/>
      <c r="AI9" s="106"/>
      <c r="AJ9" s="144"/>
      <c r="AK9" s="145"/>
      <c r="AM9" s="150"/>
      <c r="AN9" s="150" t="str">
        <f t="shared" si="0"/>
        <v>Добавить строку</v>
      </c>
      <c r="AO9" s="150"/>
      <c r="AP9" s="150"/>
      <c r="AQ9" s="42">
        <v>0</v>
      </c>
    </row>
    <row r="10" s="43" customFormat="1" ht="0.75" hidden="1" customHeight="1" spans="1:43">
      <c r="A10" s="1131"/>
      <c r="B10" s="1131"/>
      <c r="C10" s="1131"/>
      <c r="D10" s="1131"/>
      <c r="E10" s="1130"/>
      <c r="F10" s="1130"/>
      <c r="G10" s="1130"/>
      <c r="H10" s="1130"/>
      <c r="I10" s="63"/>
      <c r="J10" s="1131"/>
      <c r="K10" s="1131"/>
      <c r="L10" s="1133"/>
      <c r="M10" s="73"/>
      <c r="N10" s="73"/>
      <c r="O10" s="73"/>
      <c r="P10" s="92"/>
      <c r="Q10" s="92"/>
      <c r="R10" s="93"/>
      <c r="S10" s="1065"/>
      <c r="T10" s="1066"/>
      <c r="U10" s="1067"/>
      <c r="V10" s="1067"/>
      <c r="W10" s="1067"/>
      <c r="X10" s="1067"/>
      <c r="Y10" s="1067"/>
      <c r="Z10" s="1067"/>
      <c r="AA10" s="1067"/>
      <c r="AB10" s="1067"/>
      <c r="AC10" s="1067"/>
      <c r="AD10" s="1067"/>
      <c r="AE10" s="1067"/>
      <c r="AF10" s="1067"/>
      <c r="AG10" s="1067"/>
      <c r="AH10" s="1067"/>
      <c r="AI10" s="1067"/>
      <c r="AJ10" s="1067"/>
      <c r="AK10" s="1109"/>
      <c r="AM10" s="150"/>
      <c r="AN10" s="150" t="str">
        <f t="shared" si="0"/>
        <v/>
      </c>
      <c r="AO10" s="150"/>
      <c r="AP10" s="150"/>
      <c r="AQ10" s="43">
        <v>0</v>
      </c>
    </row>
    <row r="11" s="43" customFormat="1" ht="0.75" hidden="1" customHeight="1" spans="1:43">
      <c r="A11" s="1131"/>
      <c r="B11" s="1131"/>
      <c r="C11" s="1131"/>
      <c r="D11" s="1131"/>
      <c r="E11" s="1130"/>
      <c r="F11" s="1130"/>
      <c r="G11" s="1130"/>
      <c r="H11" s="1129"/>
      <c r="I11" s="1131"/>
      <c r="J11" s="1131"/>
      <c r="K11" s="1131"/>
      <c r="L11" s="1133"/>
      <c r="M11" s="1134"/>
      <c r="N11" s="1134"/>
      <c r="O11" s="36"/>
      <c r="P11" s="151"/>
      <c r="Q11" s="1068"/>
      <c r="R11" s="1069"/>
      <c r="S11" s="1065"/>
      <c r="T11" s="1066"/>
      <c r="U11" s="1067"/>
      <c r="V11" s="1067"/>
      <c r="W11" s="1067"/>
      <c r="X11" s="1067"/>
      <c r="Y11" s="1067"/>
      <c r="Z11" s="1067"/>
      <c r="AA11" s="1067"/>
      <c r="AB11" s="1067"/>
      <c r="AC11" s="1067"/>
      <c r="AD11" s="1067"/>
      <c r="AE11" s="1067"/>
      <c r="AF11" s="1067"/>
      <c r="AG11" s="1067"/>
      <c r="AH11" s="1067"/>
      <c r="AI11" s="1067"/>
      <c r="AJ11" s="1067"/>
      <c r="AK11" s="1109"/>
      <c r="AM11" s="150"/>
      <c r="AN11" s="150" t="str">
        <f t="shared" si="0"/>
        <v/>
      </c>
      <c r="AO11" s="150"/>
      <c r="AP11" s="150"/>
      <c r="AQ11" s="43">
        <v>0</v>
      </c>
    </row>
    <row r="12" s="43" customFormat="1" ht="0.75" hidden="1" customHeight="1" spans="1:43">
      <c r="A12" s="1131"/>
      <c r="B12" s="1131"/>
      <c r="C12" s="1131"/>
      <c r="D12" s="1131"/>
      <c r="E12" s="1130"/>
      <c r="F12" s="1130"/>
      <c r="G12" s="1129"/>
      <c r="H12" s="1131"/>
      <c r="I12" s="1131"/>
      <c r="J12" s="1131"/>
      <c r="K12" s="1131"/>
      <c r="L12" s="1133"/>
      <c r="M12" s="1134"/>
      <c r="N12" s="1134"/>
      <c r="O12" s="36"/>
      <c r="P12" s="151"/>
      <c r="Q12" s="1068"/>
      <c r="R12" s="151"/>
      <c r="S12" s="1070"/>
      <c r="T12" s="1071" t="s">
        <v>419</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источник для дифференциации</v>
      </c>
      <c r="AO12" s="150"/>
      <c r="AP12" s="150"/>
      <c r="AQ12" s="43">
        <v>0</v>
      </c>
    </row>
    <row r="13" s="43" customFormat="1" ht="0.75" hidden="1" customHeight="1" spans="1:43">
      <c r="A13" s="1131"/>
      <c r="B13" s="1131"/>
      <c r="C13" s="1131"/>
      <c r="D13" s="1131"/>
      <c r="E13" s="1130"/>
      <c r="F13" s="1129"/>
      <c r="G13" s="1131"/>
      <c r="H13" s="1131"/>
      <c r="I13" s="1131"/>
      <c r="J13" s="1131"/>
      <c r="K13" s="1131"/>
      <c r="L13" s="1133"/>
      <c r="M13" s="1135"/>
      <c r="N13" s="1135"/>
      <c r="O13" s="36"/>
      <c r="P13" s="151"/>
      <c r="Q13" s="1068"/>
      <c r="R13" s="151"/>
      <c r="S13" s="1070"/>
      <c r="T13" s="1071" t="s">
        <v>251</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централизованную систему для дифференциации</v>
      </c>
      <c r="AO13" s="150"/>
      <c r="AP13" s="150"/>
      <c r="AQ13" s="43">
        <v>0</v>
      </c>
    </row>
    <row r="14" s="43" customFormat="1" ht="0.75" hidden="1" customHeight="1" spans="1:43">
      <c r="A14" s="1131"/>
      <c r="B14" s="1131"/>
      <c r="C14" s="1131"/>
      <c r="D14" s="1131"/>
      <c r="E14" s="1129"/>
      <c r="F14" s="1131"/>
      <c r="G14" s="1131"/>
      <c r="H14" s="1131"/>
      <c r="I14" s="1131"/>
      <c r="J14" s="1131"/>
      <c r="K14" s="1131"/>
      <c r="L14" s="1133"/>
      <c r="M14" s="1135"/>
      <c r="N14" s="1135"/>
      <c r="O14" s="36"/>
      <c r="P14" s="151"/>
      <c r="Q14" s="1068"/>
      <c r="R14" s="151"/>
      <c r="S14" s="1070"/>
      <c r="T14" s="1071" t="s">
        <v>252</v>
      </c>
      <c r="U14" s="306"/>
      <c r="V14" s="306"/>
      <c r="W14" s="306"/>
      <c r="X14" s="306"/>
      <c r="Y14" s="306"/>
      <c r="Z14" s="306"/>
      <c r="AA14" s="306"/>
      <c r="AB14" s="306"/>
      <c r="AC14" s="306"/>
      <c r="AD14" s="306"/>
      <c r="AE14" s="306"/>
      <c r="AF14" s="306"/>
      <c r="AG14" s="306"/>
      <c r="AH14" s="306"/>
      <c r="AI14" s="306"/>
      <c r="AJ14" s="306"/>
      <c r="AK14" s="306"/>
      <c r="AM14" s="150"/>
      <c r="AN14" s="150" t="str">
        <f t="shared" si="0"/>
        <v>Добавить территорию для дифференциации</v>
      </c>
      <c r="AO14" s="150"/>
      <c r="AP14" s="150"/>
      <c r="AQ14" s="43">
        <v>0</v>
      </c>
    </row>
    <row r="15" hidden="1" customHeight="1" spans="43:43">
      <c r="AQ15" s="42">
        <v>0</v>
      </c>
    </row>
    <row r="16" hidden="1" customHeight="1" spans="29:43">
      <c r="AC16" s="1095"/>
      <c r="AD16" s="484"/>
      <c r="AE16" s="1140"/>
      <c r="AF16" s="1110"/>
      <c r="AG16" s="493" t="s">
        <v>62</v>
      </c>
      <c r="AH16" s="1110"/>
      <c r="AI16" s="493" t="s">
        <v>62</v>
      </c>
      <c r="AQ16" s="42">
        <v>0</v>
      </c>
    </row>
    <row r="17" hidden="1" customHeight="1" spans="38:43">
      <c r="AL17" s="36"/>
      <c r="AM17" s="36"/>
      <c r="AN17" s="36"/>
      <c r="AO17" s="36"/>
      <c r="AP17" s="36"/>
      <c r="AQ17" s="42">
        <v>0</v>
      </c>
    </row>
    <row r="18" hidden="1" customHeight="1" spans="15:43">
      <c r="O18" s="1084" t="s">
        <v>420</v>
      </c>
      <c r="X18" s="1084"/>
      <c r="Z18" s="1084"/>
      <c r="AF18" s="1084"/>
      <c r="AH18" s="1084"/>
      <c r="AL18" s="36"/>
      <c r="AM18" s="36"/>
      <c r="AN18" s="36"/>
      <c r="AO18" s="36"/>
      <c r="AP18" s="36"/>
      <c r="AQ18" s="42">
        <v>0</v>
      </c>
    </row>
    <row r="19" hidden="1" customHeight="1" spans="38:43">
      <c r="AL19" s="36"/>
      <c r="AM19" s="36"/>
      <c r="AN19" s="36"/>
      <c r="AO19" s="36"/>
      <c r="AP19" s="36"/>
      <c r="AQ19" s="42">
        <v>0</v>
      </c>
    </row>
    <row r="20" s="1036" customFormat="1" hidden="1" customHeight="1" spans="1:43">
      <c r="A20" s="1132"/>
      <c r="B20" s="1132"/>
      <c r="C20" s="1132"/>
      <c r="D20" s="1132"/>
      <c r="E20" s="1132"/>
      <c r="F20" s="1132"/>
      <c r="G20" s="1132"/>
      <c r="H20" s="1132"/>
      <c r="I20" s="1132"/>
      <c r="J20" s="1132"/>
      <c r="K20" s="1132"/>
      <c r="L20" s="1132"/>
      <c r="M20" s="1136"/>
      <c r="N20" s="1136"/>
      <c r="O20" s="1132" t="s">
        <v>421</v>
      </c>
      <c r="P20" s="48"/>
      <c r="Q20" s="1072"/>
      <c r="R20" s="1072"/>
      <c r="Y20" s="1036" t="s">
        <v>423</v>
      </c>
      <c r="AA20" s="1036" t="s">
        <v>424</v>
      </c>
      <c r="AC20" s="1036" t="s">
        <v>472</v>
      </c>
      <c r="AG20" s="1036" t="s">
        <v>423</v>
      </c>
      <c r="AI20" s="1036" t="s">
        <v>424</v>
      </c>
      <c r="AL20" s="1111"/>
      <c r="AM20" s="1111"/>
      <c r="AN20" s="1111"/>
      <c r="AO20" s="1111"/>
      <c r="AP20" s="1111"/>
      <c r="AQ20" s="1036">
        <v>0</v>
      </c>
    </row>
    <row r="21" hidden="1" customHeight="1" spans="15:43">
      <c r="O21" s="533"/>
      <c r="AL21" s="36"/>
      <c r="AM21" s="36"/>
      <c r="AN21" s="36"/>
      <c r="AO21" s="36"/>
      <c r="AP21" s="36"/>
      <c r="AQ21" s="42">
        <v>0</v>
      </c>
    </row>
    <row r="22" hidden="1" customHeight="1" spans="15:43">
      <c r="O22" s="533"/>
      <c r="AL22" s="36"/>
      <c r="AM22" s="36"/>
      <c r="AN22" s="36"/>
      <c r="AO22" s="36"/>
      <c r="AP22" s="36"/>
      <c r="AQ22" s="42">
        <v>0</v>
      </c>
    </row>
    <row r="23" ht="14.7" customHeight="1" spans="17:43">
      <c r="Q23" s="1073"/>
      <c r="R23" s="50"/>
      <c r="S23" s="51"/>
      <c r="T23" s="52"/>
      <c r="U23" s="52"/>
      <c r="AQ23" s="42">
        <v>14</v>
      </c>
    </row>
    <row r="24" ht="39.75" customHeight="1" spans="17:43">
      <c r="Q24" s="1073"/>
      <c r="R24" s="50"/>
      <c r="S24" s="75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750"/>
      <c r="U24" s="750"/>
      <c r="V24" s="750"/>
      <c r="W24" s="750"/>
      <c r="X24" s="750"/>
      <c r="Y24" s="750"/>
      <c r="Z24" s="750"/>
      <c r="AA24" s="750"/>
      <c r="AB24" s="750"/>
      <c r="AC24" s="750"/>
      <c r="AD24" s="750"/>
      <c r="AE24" s="750"/>
      <c r="AF24" s="750"/>
      <c r="AG24" s="750"/>
      <c r="AH24" s="750"/>
      <c r="AI24" s="120"/>
      <c r="AQ24" s="42">
        <v>38</v>
      </c>
    </row>
    <row r="25" ht="14.7" customHeight="1" spans="17:43">
      <c r="Q25" s="1073"/>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hidden="1" customHeight="1" spans="17:43">
      <c r="Q26" s="1073"/>
      <c r="R26" s="50"/>
      <c r="S26" s="51"/>
      <c r="T26" s="52"/>
      <c r="U26" s="52"/>
      <c r="V26" s="55"/>
      <c r="W26" s="55"/>
      <c r="X26" s="55"/>
      <c r="Y26" s="55"/>
      <c r="Z26" s="55"/>
      <c r="AA26" s="55"/>
      <c r="AB26" s="55"/>
      <c r="AC26" s="55"/>
      <c r="AD26" s="55"/>
      <c r="AE26" s="55"/>
      <c r="AF26" s="55"/>
      <c r="AG26" s="55"/>
      <c r="AH26" s="55"/>
      <c r="AI26" s="55"/>
      <c r="AQ26" s="42">
        <v>0</v>
      </c>
    </row>
    <row r="27" s="35" customFormat="1" ht="25.5" hidden="1" customHeight="1" spans="1:43">
      <c r="A27" s="500"/>
      <c r="B27" s="500"/>
      <c r="C27" s="500"/>
      <c r="D27" s="500"/>
      <c r="E27" s="500"/>
      <c r="F27" s="500"/>
      <c r="G27" s="500"/>
      <c r="H27" s="500"/>
      <c r="I27" s="500"/>
      <c r="J27" s="500"/>
      <c r="K27" s="500"/>
      <c r="L27" s="533"/>
      <c r="M27" s="500"/>
      <c r="N27" s="500"/>
      <c r="O27" s="500"/>
      <c r="P27" s="44"/>
      <c r="Q27" s="44"/>
      <c r="S27" s="57" t="s">
        <v>42</v>
      </c>
      <c r="T27" s="57"/>
      <c r="U27" s="1074"/>
      <c r="V27" s="59" t="str">
        <f>IF(TITLE_NAME_OR_PR_CHANGE="",IF(TITLE_NAME_OR_PR="","",TITLE_NAME_OR_PR),TITLE_NAME_OR_PR_CHANGE)</f>
        <v>Государственный комитет РТ по тарифам</v>
      </c>
      <c r="W27" s="59"/>
      <c r="X27" s="59"/>
      <c r="Y27" s="59"/>
      <c r="Z27" s="59"/>
      <c r="AA27" s="42"/>
      <c r="AB27" s="42"/>
      <c r="AC27" s="59"/>
      <c r="AD27" s="59"/>
      <c r="AE27" s="59"/>
      <c r="AF27" s="59"/>
      <c r="AG27" s="59"/>
      <c r="AH27" s="59"/>
      <c r="AI27" s="42"/>
      <c r="AJ27" s="42"/>
      <c r="AK27" s="121"/>
      <c r="AL27" s="150"/>
      <c r="AM27" s="150"/>
      <c r="AN27" s="150"/>
      <c r="AO27" s="150"/>
      <c r="AP27" s="150"/>
      <c r="AQ27" s="35">
        <v>0</v>
      </c>
    </row>
    <row r="28" s="35" customFormat="1" ht="18.75" hidden="1" customHeight="1" spans="1:43">
      <c r="A28" s="500"/>
      <c r="B28" s="500"/>
      <c r="C28" s="500"/>
      <c r="D28" s="500"/>
      <c r="E28" s="500"/>
      <c r="F28" s="500"/>
      <c r="G28" s="500"/>
      <c r="H28" s="500"/>
      <c r="I28" s="500"/>
      <c r="J28" s="500"/>
      <c r="K28" s="500"/>
      <c r="L28" s="533"/>
      <c r="M28" s="500"/>
      <c r="N28" s="500"/>
      <c r="O28" s="500"/>
      <c r="P28" s="44"/>
      <c r="Q28" s="44"/>
      <c r="S28" s="57" t="s">
        <v>426</v>
      </c>
      <c r="T28" s="57"/>
      <c r="U28" s="1074"/>
      <c r="V28" s="788">
        <f>IF(TITLE_DATE_PR_CHANGE="",IF(TITLE_DATE_PR="","",TITLE_DATE_PR),TITLE_DATE_PR_CHANGE)</f>
        <v>45525</v>
      </c>
      <c r="W28" s="788"/>
      <c r="X28" s="788"/>
      <c r="Y28" s="788"/>
      <c r="Z28" s="788"/>
      <c r="AA28" s="42"/>
      <c r="AB28" s="42"/>
      <c r="AC28" s="788"/>
      <c r="AD28" s="788"/>
      <c r="AE28" s="788"/>
      <c r="AF28" s="788"/>
      <c r="AG28" s="788"/>
      <c r="AH28" s="788"/>
      <c r="AI28" s="42"/>
      <c r="AJ28" s="42"/>
      <c r="AK28" s="121"/>
      <c r="AL28" s="150"/>
      <c r="AM28" s="150"/>
      <c r="AN28" s="150"/>
      <c r="AO28" s="150"/>
      <c r="AP28" s="150"/>
      <c r="AQ28" s="35">
        <v>0</v>
      </c>
    </row>
    <row r="29" s="35" customFormat="1" ht="18.75" hidden="1" customHeight="1" spans="1:43">
      <c r="A29" s="500"/>
      <c r="B29" s="500"/>
      <c r="C29" s="500"/>
      <c r="D29" s="500"/>
      <c r="E29" s="500"/>
      <c r="F29" s="500"/>
      <c r="G29" s="500"/>
      <c r="H29" s="500"/>
      <c r="I29" s="500"/>
      <c r="J29" s="500"/>
      <c r="K29" s="500"/>
      <c r="L29" s="533"/>
      <c r="M29" s="500"/>
      <c r="N29" s="500"/>
      <c r="O29" s="500"/>
      <c r="P29" s="44"/>
      <c r="Q29" s="44"/>
      <c r="S29" s="57" t="s">
        <v>427</v>
      </c>
      <c r="T29" s="57"/>
      <c r="U29" s="1074"/>
      <c r="V29" s="59" t="str">
        <f>IF(TITLE_NUMBER_PR_CHANGE="",IF(TITLE_NUMBER_PR="","",TITLE_NUMBER_PR),TITLE_NUMBER_PR_CHANGE)</f>
        <v>108-73/тп-2024</v>
      </c>
      <c r="W29" s="59"/>
      <c r="X29" s="59"/>
      <c r="Y29" s="59"/>
      <c r="Z29" s="59"/>
      <c r="AA29" s="42"/>
      <c r="AB29" s="42"/>
      <c r="AC29" s="59"/>
      <c r="AD29" s="59"/>
      <c r="AE29" s="59"/>
      <c r="AF29" s="59"/>
      <c r="AG29" s="59"/>
      <c r="AH29" s="59"/>
      <c r="AI29" s="42"/>
      <c r="AJ29" s="42"/>
      <c r="AK29" s="121"/>
      <c r="AL29" s="150"/>
      <c r="AM29" s="150"/>
      <c r="AN29" s="150"/>
      <c r="AO29" s="150"/>
      <c r="AP29" s="150"/>
      <c r="AQ29" s="35">
        <v>0</v>
      </c>
    </row>
    <row r="30" s="35" customFormat="1" ht="18.75" hidden="1" customHeight="1" spans="1:43">
      <c r="A30" s="500"/>
      <c r="B30" s="500"/>
      <c r="C30" s="500"/>
      <c r="D30" s="500"/>
      <c r="E30" s="500"/>
      <c r="F30" s="500"/>
      <c r="G30" s="500"/>
      <c r="H30" s="500"/>
      <c r="I30" s="500"/>
      <c r="J30" s="500"/>
      <c r="K30" s="500"/>
      <c r="L30" s="533"/>
      <c r="M30" s="500"/>
      <c r="N30" s="500"/>
      <c r="O30" s="500"/>
      <c r="P30" s="44"/>
      <c r="Q30" s="44"/>
      <c r="S30" s="57" t="s">
        <v>44</v>
      </c>
      <c r="T30" s="57"/>
      <c r="U30" s="1074"/>
      <c r="V30" s="59" t="str">
        <f>IF(TITLE_IST_PUB_CHANGE="",IF(TITLE_IST_PUB="","",TITLE_IST_PUB),TITLE_IST_PUB_CHANGE)</f>
        <v>"Официальный портал правовой информации
Республики Татарстан"</v>
      </c>
      <c r="W30" s="59"/>
      <c r="X30" s="59"/>
      <c r="Y30" s="59"/>
      <c r="Z30" s="59"/>
      <c r="AA30" s="42"/>
      <c r="AB30" s="42"/>
      <c r="AC30" s="59"/>
      <c r="AD30" s="59"/>
      <c r="AE30" s="59"/>
      <c r="AF30" s="59"/>
      <c r="AG30" s="59"/>
      <c r="AH30" s="59"/>
      <c r="AI30" s="42"/>
      <c r="AJ30" s="42"/>
      <c r="AK30" s="121"/>
      <c r="AL30" s="150"/>
      <c r="AM30" s="150"/>
      <c r="AN30" s="150"/>
      <c r="AO30" s="150"/>
      <c r="AP30" s="150"/>
      <c r="AQ30" s="35">
        <v>0</v>
      </c>
    </row>
    <row r="31" hidden="1" customHeight="1" spans="17:43">
      <c r="Q31" s="1073"/>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500"/>
      <c r="B32" s="500"/>
      <c r="C32" s="500"/>
      <c r="D32" s="500"/>
      <c r="E32" s="500"/>
      <c r="F32" s="500"/>
      <c r="G32" s="500"/>
      <c r="H32" s="500"/>
      <c r="I32" s="500"/>
      <c r="J32" s="500"/>
      <c r="K32" s="500"/>
      <c r="L32" s="533"/>
      <c r="M32" s="500"/>
      <c r="N32" s="500"/>
      <c r="O32" s="500"/>
      <c r="P32" s="44"/>
      <c r="Q32" s="44"/>
      <c r="S32" s="57" t="s">
        <v>426</v>
      </c>
      <c r="T32" s="57"/>
      <c r="U32" s="1074"/>
      <c r="V32" s="788">
        <f>IF(TITLE_DATE_PR_CHANGE="",IF(TITLE_DATE_PR="","",TITLE_DATE_PR),TITLE_DATE_PR_CHANGE)</f>
        <v>45525</v>
      </c>
      <c r="W32" s="788"/>
      <c r="X32" s="788"/>
      <c r="Y32" s="788"/>
      <c r="Z32" s="788"/>
      <c r="AA32" s="42"/>
      <c r="AB32" s="42"/>
      <c r="AC32" s="788"/>
      <c r="AD32" s="788"/>
      <c r="AE32" s="788"/>
      <c r="AF32" s="788"/>
      <c r="AG32" s="788"/>
      <c r="AH32" s="788"/>
      <c r="AI32" s="42"/>
      <c r="AJ32" s="42"/>
      <c r="AK32" s="121"/>
      <c r="AL32" s="150"/>
      <c r="AM32" s="150"/>
      <c r="AN32" s="150"/>
      <c r="AO32" s="150"/>
      <c r="AP32" s="150"/>
      <c r="AQ32" s="35">
        <v>0</v>
      </c>
    </row>
    <row r="33" s="35" customFormat="1" ht="18" hidden="1" customHeight="1" spans="1:43">
      <c r="A33" s="500"/>
      <c r="B33" s="500"/>
      <c r="C33" s="500"/>
      <c r="D33" s="500"/>
      <c r="E33" s="500"/>
      <c r="F33" s="500"/>
      <c r="G33" s="500"/>
      <c r="H33" s="500"/>
      <c r="I33" s="500"/>
      <c r="J33" s="500"/>
      <c r="K33" s="500"/>
      <c r="L33" s="533"/>
      <c r="M33" s="500"/>
      <c r="N33" s="500"/>
      <c r="O33" s="500"/>
      <c r="P33" s="44"/>
      <c r="Q33" s="44"/>
      <c r="S33" s="57" t="s">
        <v>427</v>
      </c>
      <c r="T33" s="57"/>
      <c r="U33" s="1074"/>
      <c r="V33" s="59" t="str">
        <f>IF(TITLE_NUMBER_PR_CHANGE="",IF(TITLE_NUMBER_PR="","",TITLE_NUMBER_PR),TITLE_NUMBER_PR_CHANGE)</f>
        <v>108-73/тп-2024</v>
      </c>
      <c r="W33" s="59"/>
      <c r="X33" s="59"/>
      <c r="Y33" s="59"/>
      <c r="Z33" s="59"/>
      <c r="AA33" s="42"/>
      <c r="AB33" s="42"/>
      <c r="AC33" s="59"/>
      <c r="AD33" s="59"/>
      <c r="AE33" s="59"/>
      <c r="AF33" s="59"/>
      <c r="AG33" s="59"/>
      <c r="AH33" s="59"/>
      <c r="AI33" s="42"/>
      <c r="AJ33" s="42"/>
      <c r="AK33" s="121"/>
      <c r="AL33" s="150"/>
      <c r="AM33" s="150"/>
      <c r="AN33" s="150"/>
      <c r="AO33" s="150"/>
      <c r="AP33" s="150"/>
      <c r="AQ33" s="35">
        <v>0</v>
      </c>
    </row>
    <row r="34" s="35" customFormat="1" ht="1.05" customHeight="1" spans="1:43">
      <c r="A34" s="500"/>
      <c r="B34" s="500"/>
      <c r="C34" s="500"/>
      <c r="D34" s="500"/>
      <c r="E34" s="500"/>
      <c r="F34" s="500"/>
      <c r="G34" s="500"/>
      <c r="H34" s="500"/>
      <c r="I34" s="500"/>
      <c r="J34" s="500"/>
      <c r="K34" s="500"/>
      <c r="L34" s="533"/>
      <c r="M34" s="500"/>
      <c r="N34" s="500"/>
      <c r="O34" s="500"/>
      <c r="P34" s="44"/>
      <c r="Q34" s="44"/>
      <c r="S34" s="42"/>
      <c r="T34" s="42"/>
      <c r="U34" s="60"/>
      <c r="V34" s="42"/>
      <c r="W34" s="42"/>
      <c r="X34" s="42"/>
      <c r="Y34" s="42"/>
      <c r="Z34" s="42"/>
      <c r="AA34" s="43" t="s">
        <v>430</v>
      </c>
      <c r="AB34" s="43"/>
      <c r="AC34" s="42"/>
      <c r="AD34" s="42"/>
      <c r="AE34" s="42"/>
      <c r="AF34" s="42"/>
      <c r="AG34" s="42"/>
      <c r="AH34" s="42"/>
      <c r="AI34" s="43" t="s">
        <v>430</v>
      </c>
      <c r="AL34" s="150"/>
      <c r="AM34" s="150"/>
      <c r="AN34" s="150"/>
      <c r="AO34" s="150"/>
      <c r="AP34" s="150"/>
      <c r="AQ34" s="35">
        <v>1</v>
      </c>
    </row>
    <row r="35" ht="14.7" customHeight="1" spans="17:43">
      <c r="Q35" s="1073"/>
      <c r="R35" s="50"/>
      <c r="S35" s="51"/>
      <c r="T35" s="52"/>
      <c r="U35" s="61"/>
      <c r="V35" s="62"/>
      <c r="W35" s="62"/>
      <c r="X35" s="62"/>
      <c r="Y35" s="62"/>
      <c r="Z35" s="62"/>
      <c r="AA35" s="62"/>
      <c r="AB35" s="62"/>
      <c r="AC35" s="62"/>
      <c r="AD35" s="62"/>
      <c r="AE35" s="62"/>
      <c r="AF35" s="62"/>
      <c r="AG35" s="62"/>
      <c r="AH35" s="62"/>
      <c r="AI35" s="62"/>
      <c r="AQ35" s="42">
        <v>14</v>
      </c>
    </row>
    <row r="36" ht="14.7" customHeight="1" spans="17:43">
      <c r="Q36" s="1073"/>
      <c r="R36" s="50"/>
      <c r="S36" s="63" t="s">
        <v>305</v>
      </c>
      <c r="T36" s="63"/>
      <c r="U36" s="63"/>
      <c r="V36" s="63"/>
      <c r="W36" s="63"/>
      <c r="X36" s="63"/>
      <c r="Y36" s="63"/>
      <c r="Z36" s="63"/>
      <c r="AA36" s="70"/>
      <c r="AB36" s="70"/>
      <c r="AC36" s="70"/>
      <c r="AD36" s="63"/>
      <c r="AE36" s="63"/>
      <c r="AF36" s="63"/>
      <c r="AG36" s="63"/>
      <c r="AH36" s="63"/>
      <c r="AI36" s="63"/>
      <c r="AJ36" s="63"/>
      <c r="AK36" s="63" t="s">
        <v>306</v>
      </c>
      <c r="AQ36" s="42">
        <v>14</v>
      </c>
    </row>
    <row r="37" ht="14.7" customHeight="1" spans="17:43">
      <c r="Q37" s="1073"/>
      <c r="R37" s="50"/>
      <c r="S37" s="64" t="s">
        <v>89</v>
      </c>
      <c r="T37" s="65" t="s">
        <v>501</v>
      </c>
      <c r="U37" s="66"/>
      <c r="V37" s="68"/>
      <c r="W37" s="68"/>
      <c r="X37" s="68"/>
      <c r="Y37" s="68"/>
      <c r="Z37" s="68"/>
      <c r="AA37" s="65" t="s">
        <v>433</v>
      </c>
      <c r="AB37" s="662" t="s">
        <v>502</v>
      </c>
      <c r="AC37" s="662" t="s">
        <v>476</v>
      </c>
      <c r="AD37" s="1085" t="s">
        <v>432</v>
      </c>
      <c r="AE37" s="1085"/>
      <c r="AF37" s="68"/>
      <c r="AG37" s="68"/>
      <c r="AH37" s="122"/>
      <c r="AI37" s="123" t="s">
        <v>433</v>
      </c>
      <c r="AJ37" s="124" t="s">
        <v>435</v>
      </c>
      <c r="AK37" s="63"/>
      <c r="AQ37" s="42">
        <v>14</v>
      </c>
    </row>
    <row r="38" ht="35.7" customHeight="1" spans="17:43">
      <c r="Q38" s="1073"/>
      <c r="R38" s="50"/>
      <c r="S38" s="64"/>
      <c r="T38" s="65"/>
      <c r="U38" s="69"/>
      <c r="V38" s="126" t="s">
        <v>479</v>
      </c>
      <c r="W38" s="63"/>
      <c r="X38" s="892" t="s">
        <v>439</v>
      </c>
      <c r="Y38" s="1086"/>
      <c r="Z38" s="1086"/>
      <c r="AA38" s="65"/>
      <c r="AB38" s="662"/>
      <c r="AC38" s="662"/>
      <c r="AD38" s="126" t="s">
        <v>479</v>
      </c>
      <c r="AE38" s="63"/>
      <c r="AF38" s="1086" t="s">
        <v>439</v>
      </c>
      <c r="AG38" s="1086"/>
      <c r="AH38" s="893"/>
      <c r="AI38" s="128"/>
      <c r="AJ38" s="129"/>
      <c r="AK38" s="63"/>
      <c r="AQ38" s="42">
        <v>34</v>
      </c>
    </row>
    <row r="39" ht="14.7" customHeight="1" spans="17:43">
      <c r="Q39" s="1073"/>
      <c r="R39" s="50"/>
      <c r="S39" s="64"/>
      <c r="T39" s="65"/>
      <c r="U39" s="69"/>
      <c r="V39" s="1138" t="str">
        <f>IF($AD$39&lt;&gt;"",$AD$39,"")</f>
        <v/>
      </c>
      <c r="W39" s="1138"/>
      <c r="X39" s="896"/>
      <c r="Y39" s="1089"/>
      <c r="Z39" s="1089"/>
      <c r="AA39" s="65"/>
      <c r="AB39" s="662"/>
      <c r="AC39" s="662"/>
      <c r="AD39" s="1141"/>
      <c r="AE39" s="652"/>
      <c r="AF39" s="1089"/>
      <c r="AG39" s="1089"/>
      <c r="AH39" s="897"/>
      <c r="AI39" s="128"/>
      <c r="AJ39" s="129"/>
      <c r="AK39" s="63"/>
      <c r="AQ39" s="42">
        <v>14</v>
      </c>
    </row>
    <row r="40" ht="14.7" customHeight="1" spans="1:43">
      <c r="A40" s="500"/>
      <c r="B40" s="500" t="s">
        <v>137</v>
      </c>
      <c r="C40" s="500" t="s">
        <v>138</v>
      </c>
      <c r="D40" s="500" t="s">
        <v>139</v>
      </c>
      <c r="E40" s="533" t="s">
        <v>440</v>
      </c>
      <c r="F40" s="533" t="s">
        <v>441</v>
      </c>
      <c r="G40" s="533" t="s">
        <v>442</v>
      </c>
      <c r="H40" s="533" t="s">
        <v>443</v>
      </c>
      <c r="I40" s="533" t="s">
        <v>444</v>
      </c>
      <c r="J40" s="533" t="s">
        <v>445</v>
      </c>
      <c r="K40" s="533" t="s">
        <v>446</v>
      </c>
      <c r="L40" s="533" t="s">
        <v>421</v>
      </c>
      <c r="Q40" s="1073"/>
      <c r="R40" s="50"/>
      <c r="S40" s="64"/>
      <c r="T40" s="65"/>
      <c r="U40" s="71"/>
      <c r="V40" s="65" t="s">
        <v>480</v>
      </c>
      <c r="W40" s="65" t="s">
        <v>481</v>
      </c>
      <c r="X40" s="130" t="s">
        <v>449</v>
      </c>
      <c r="Y40" s="131" t="s">
        <v>450</v>
      </c>
      <c r="Z40" s="1142"/>
      <c r="AA40" s="65"/>
      <c r="AB40" s="662"/>
      <c r="AC40" s="662"/>
      <c r="AD40" s="846" t="s">
        <v>480</v>
      </c>
      <c r="AE40" s="133" t="s">
        <v>481</v>
      </c>
      <c r="AF40" s="130" t="s">
        <v>449</v>
      </c>
      <c r="AG40" s="131" t="s">
        <v>450</v>
      </c>
      <c r="AH40" s="132"/>
      <c r="AI40" s="133"/>
      <c r="AJ40" s="134"/>
      <c r="AK40" s="63"/>
      <c r="AQ40" s="42">
        <v>14</v>
      </c>
    </row>
    <row r="41" s="36" customFormat="1" ht="11.25" hidden="1" customHeight="1" spans="1:43">
      <c r="A41" s="500"/>
      <c r="B41" s="500"/>
      <c r="C41" s="500"/>
      <c r="D41" s="500"/>
      <c r="E41" s="500"/>
      <c r="F41" s="500"/>
      <c r="G41" s="500"/>
      <c r="H41" s="500"/>
      <c r="I41" s="500"/>
      <c r="J41" s="500"/>
      <c r="K41" s="500"/>
      <c r="L41" s="533"/>
      <c r="M41" s="39"/>
      <c r="N41" s="39"/>
      <c r="O41" s="39"/>
      <c r="P41" s="1043"/>
      <c r="Q41" s="75"/>
      <c r="R41" s="75">
        <v>1</v>
      </c>
      <c r="S41" s="76" t="s">
        <v>111</v>
      </c>
      <c r="T41" s="77" t="s">
        <v>112</v>
      </c>
      <c r="U41" s="78" t="str">
        <f ca="1">OFFSET(U41,0,-1)</f>
        <v>2</v>
      </c>
      <c r="V41" s="79">
        <f ca="1">OFFSET(V41,0,-1)+1</f>
        <v>3</v>
      </c>
      <c r="W41" s="79">
        <f ca="1">OFFSET(W41,0,-1)+1</f>
        <v>4</v>
      </c>
      <c r="X41" s="79">
        <f ca="1">OFFSET(X41,0,-1)+1</f>
        <v>5</v>
      </c>
      <c r="Y41" s="79">
        <f ca="1">OFFSET(Y41,0,-1)+1</f>
        <v>6</v>
      </c>
      <c r="Z41" s="79"/>
      <c r="AA41" s="1128">
        <f ca="1">OFFSET(AA41,0,-2)+1</f>
        <v>7</v>
      </c>
      <c r="AB41" s="1128"/>
      <c r="AC41" s="1128"/>
      <c r="AD41" s="79">
        <f ca="1">OFFSET(AD41,0,-1)+1</f>
        <v>1</v>
      </c>
      <c r="AE41" s="79">
        <f ca="1">OFFSET(AE41,0,-1)+1</f>
        <v>2</v>
      </c>
      <c r="AF41" s="79">
        <f ca="1">OFFSET(AF41,0,-1)+1</f>
        <v>3</v>
      </c>
      <c r="AG41" s="79">
        <f ca="1">OFFSET(AG41,0,-1)+1</f>
        <v>4</v>
      </c>
      <c r="AH41" s="79"/>
      <c r="AI41" s="79">
        <f ca="1">OFFSET(AI41,0,-2)+1</f>
        <v>5</v>
      </c>
      <c r="AJ41" s="78">
        <f ca="1">OFFSET(AJ41,0,-1)</f>
        <v>5</v>
      </c>
      <c r="AK41" s="79">
        <f ca="1">OFFSET(AK41,0,-1)+1</f>
        <v>6</v>
      </c>
      <c r="AL41" s="43"/>
      <c r="AM41" s="43"/>
      <c r="AN41" s="43"/>
      <c r="AO41" s="43"/>
      <c r="AP41" s="43"/>
      <c r="AQ41" s="36">
        <v>0</v>
      </c>
    </row>
    <row r="42" ht="107.25" customHeight="1" spans="1:43">
      <c r="A42" s="499" t="s">
        <v>206</v>
      </c>
      <c r="B42" s="499"/>
      <c r="C42" s="499"/>
      <c r="D42" s="499"/>
      <c r="E42" s="1129">
        <v>1</v>
      </c>
      <c r="F42" s="499"/>
      <c r="G42" s="499"/>
      <c r="H42" s="499"/>
      <c r="I42" s="499"/>
      <c r="J42" s="499"/>
      <c r="K42" s="499"/>
      <c r="L42" s="533"/>
      <c r="M42" s="41"/>
      <c r="N42" s="41"/>
      <c r="O42" s="41"/>
      <c r="Q42" s="263"/>
      <c r="R42" s="81"/>
      <c r="S42" s="64">
        <f>INDEX(PT_DIFFERENTIATION_NUM_NTAR,MATCH(A42,PT_DIFFERENTIATION_NTAR_ID,0))</f>
        <v>0</v>
      </c>
      <c r="T42" s="82" t="s">
        <v>125</v>
      </c>
      <c r="U42" s="83"/>
      <c r="V42" s="1047"/>
      <c r="W42" s="1047"/>
      <c r="X42" s="1047"/>
      <c r="Y42" s="1047"/>
      <c r="Z42" s="1047"/>
      <c r="AA42" s="1075"/>
      <c r="AB42" s="1047"/>
      <c r="AC42" s="1047" t="str">
        <f>INDEX(PT_DIFFERENTIATION_NTAR,MATCH(A42,PT_DIFFERENTIATION_NTAR_ID,0))</f>
        <v/>
      </c>
      <c r="AD42" s="1047"/>
      <c r="AE42" s="1047"/>
      <c r="AF42" s="1047"/>
      <c r="AG42" s="1047"/>
      <c r="AH42" s="1047"/>
      <c r="AI42" s="1047"/>
      <c r="AJ42" s="1075"/>
      <c r="AK42" s="13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0"/>
      <c r="AN42" s="150" t="str">
        <f t="shared" ref="AN42:AN56" si="1">IF(T42="","",T42)</f>
        <v>Наименование тарифа</v>
      </c>
      <c r="AO42" s="150"/>
      <c r="AP42" s="150"/>
      <c r="AQ42" s="42">
        <v>102</v>
      </c>
    </row>
    <row r="43" ht="22.05" customHeight="1" spans="1:43">
      <c r="A43" s="499" t="s">
        <v>206</v>
      </c>
      <c r="B43" s="499" t="s">
        <v>207</v>
      </c>
      <c r="C43" s="499"/>
      <c r="D43" s="499"/>
      <c r="E43" s="1130"/>
      <c r="F43" s="1129">
        <v>1</v>
      </c>
      <c r="G43" s="499"/>
      <c r="H43" s="499"/>
      <c r="I43" s="499"/>
      <c r="J43" s="499"/>
      <c r="K43" s="499"/>
      <c r="L43" s="533"/>
      <c r="M43" s="41"/>
      <c r="N43" s="41"/>
      <c r="O43" s="41"/>
      <c r="P43" s="47"/>
      <c r="Q43" s="1048"/>
      <c r="R43" s="87"/>
      <c r="S43" s="64" t="str">
        <f>INDEX(PT_DIFFERENTIATION_NUM_TER,MATCH(B43,PT_DIFFERENTIATION_TER_ID,0))</f>
        <v>.</v>
      </c>
      <c r="T43" s="88" t="s">
        <v>402</v>
      </c>
      <c r="U43" s="83"/>
      <c r="V43" s="1047"/>
      <c r="W43" s="1047"/>
      <c r="X43" s="1047"/>
      <c r="Y43" s="1047"/>
      <c r="Z43" s="1047"/>
      <c r="AA43" s="1075"/>
      <c r="AB43" s="1047"/>
      <c r="AC43" s="1047" t="str">
        <f>INDEX(PT_DIFFERENTIATION_TER,MATCH(B43,PT_DIFFERENTIATION_TER_ID,0))</f>
        <v/>
      </c>
      <c r="AD43" s="1047"/>
      <c r="AE43" s="1047"/>
      <c r="AF43" s="1047"/>
      <c r="AG43" s="1047"/>
      <c r="AH43" s="1047"/>
      <c r="AI43" s="1047"/>
      <c r="AJ43" s="1075"/>
      <c r="AK43" s="135" t="s">
        <v>403</v>
      </c>
      <c r="AM43" s="150"/>
      <c r="AN43" s="150" t="str">
        <f t="shared" si="1"/>
        <v>Территория действия тарифа</v>
      </c>
      <c r="AO43" s="150"/>
      <c r="AP43" s="150"/>
      <c r="AQ43" s="42">
        <v>21</v>
      </c>
    </row>
    <row r="44" ht="24" customHeight="1" spans="1:43">
      <c r="A44" s="499" t="s">
        <v>206</v>
      </c>
      <c r="B44" s="499" t="s">
        <v>207</v>
      </c>
      <c r="C44" s="499" t="s">
        <v>208</v>
      </c>
      <c r="D44" s="499"/>
      <c r="E44" s="1130"/>
      <c r="F44" s="1130"/>
      <c r="G44" s="1129">
        <v>1</v>
      </c>
      <c r="H44" s="499"/>
      <c r="I44" s="499"/>
      <c r="J44" s="499"/>
      <c r="K44" s="499"/>
      <c r="L44" s="533"/>
      <c r="M44" s="41"/>
      <c r="N44" s="41"/>
      <c r="O44" s="41"/>
      <c r="P44" s="1041"/>
      <c r="Q44" s="1048"/>
      <c r="R44" s="87"/>
      <c r="S44" s="64" t="str">
        <f>INDEX(PT_DIFFERENTIATION_NUM_CS,MATCH(C44,PT_DIFFERENTIATION_CS_ID,0))</f>
        <v>..</v>
      </c>
      <c r="T44" s="90" t="s">
        <v>404</v>
      </c>
      <c r="U44" s="83"/>
      <c r="V44" s="1047"/>
      <c r="W44" s="1047"/>
      <c r="X44" s="1047"/>
      <c r="Y44" s="1047"/>
      <c r="Z44" s="1047"/>
      <c r="AA44" s="1075"/>
      <c r="AB44" s="1047"/>
      <c r="AC44" s="1047" t="str">
        <f>INDEX(PT_DIFFERENTIATION_CS,MATCH(C44,PT_DIFFERENTIATION_CS_ID,0))</f>
        <v/>
      </c>
      <c r="AD44" s="1047"/>
      <c r="AE44" s="1047"/>
      <c r="AF44" s="1047"/>
      <c r="AG44" s="1047"/>
      <c r="AH44" s="1047"/>
      <c r="AI44" s="1047"/>
      <c r="AJ44" s="1075"/>
      <c r="AK44" s="135" t="s">
        <v>405</v>
      </c>
      <c r="AM44" s="150"/>
      <c r="AN44" s="150" t="str">
        <f t="shared" si="1"/>
        <v>Наименование системы теплоснабжения </v>
      </c>
      <c r="AO44" s="150"/>
      <c r="AP44" s="150"/>
      <c r="AQ44" s="42">
        <v>23</v>
      </c>
    </row>
    <row r="45" ht="22.05" customHeight="1" spans="1:43">
      <c r="A45" s="499" t="s">
        <v>206</v>
      </c>
      <c r="B45" s="499" t="s">
        <v>207</v>
      </c>
      <c r="C45" s="499" t="s">
        <v>208</v>
      </c>
      <c r="D45" s="499" t="s">
        <v>209</v>
      </c>
      <c r="E45" s="1130"/>
      <c r="F45" s="1130"/>
      <c r="G45" s="1130"/>
      <c r="H45" s="1129">
        <v>1</v>
      </c>
      <c r="I45" s="499"/>
      <c r="J45" s="499"/>
      <c r="K45" s="499"/>
      <c r="L45" s="533"/>
      <c r="M45" s="41"/>
      <c r="N45" s="41"/>
      <c r="O45" s="41"/>
      <c r="P45" s="1041"/>
      <c r="Q45" s="1048"/>
      <c r="R45" s="87"/>
      <c r="S45" s="64" t="str">
        <f>INDEX(PT_DIFFERENTIATION_NUM_IST_TE,MATCH(D45,PT_DIFFERENTIATION_IST_TE_ID,0))</f>
        <v>...</v>
      </c>
      <c r="T45" s="91" t="s">
        <v>406</v>
      </c>
      <c r="U45" s="83"/>
      <c r="V45" s="1047"/>
      <c r="W45" s="1047"/>
      <c r="X45" s="1047"/>
      <c r="Y45" s="1047"/>
      <c r="Z45" s="1047"/>
      <c r="AA45" s="1075"/>
      <c r="AB45" s="1047"/>
      <c r="AC45" s="1047" t="str">
        <f>INDEX(PT_DIFFERENTIATION_IST_TE,MATCH(D45,PT_DIFFERENTIATION_IST_TE_ID,0))</f>
        <v/>
      </c>
      <c r="AD45" s="1047"/>
      <c r="AE45" s="1047"/>
      <c r="AF45" s="1047"/>
      <c r="AG45" s="1047"/>
      <c r="AH45" s="1047"/>
      <c r="AI45" s="1047"/>
      <c r="AJ45" s="1075"/>
      <c r="AK45" s="135" t="s">
        <v>407</v>
      </c>
      <c r="AM45" s="150"/>
      <c r="AN45" s="150" t="str">
        <f t="shared" si="1"/>
        <v>Источник тепловой энергии  </v>
      </c>
      <c r="AO45" s="150"/>
      <c r="AP45" s="150"/>
      <c r="AQ45" s="42">
        <v>21</v>
      </c>
    </row>
    <row r="46" s="43" customFormat="1" hidden="1" customHeight="1" spans="1:43">
      <c r="A46" s="1131" t="s">
        <v>206</v>
      </c>
      <c r="B46" s="1131" t="s">
        <v>207</v>
      </c>
      <c r="C46" s="1131" t="s">
        <v>208</v>
      </c>
      <c r="D46" s="1131" t="s">
        <v>209</v>
      </c>
      <c r="E46" s="1130"/>
      <c r="F46" s="1130"/>
      <c r="G46" s="1130"/>
      <c r="H46" s="1130"/>
      <c r="I46" s="63" t="str">
        <f>S45&amp;".1"</f>
        <v>....1</v>
      </c>
      <c r="J46" s="1131"/>
      <c r="K46" s="1131"/>
      <c r="L46" s="1133" t="s">
        <v>408</v>
      </c>
      <c r="M46" s="73"/>
      <c r="N46" s="73"/>
      <c r="O46" s="73"/>
      <c r="P46" s="92">
        <v>1</v>
      </c>
      <c r="Q46" s="92"/>
      <c r="R46" s="93"/>
      <c r="S46" s="329"/>
      <c r="T46" s="1053"/>
      <c r="U46" s="1051"/>
      <c r="V46" s="1052"/>
      <c r="W46" s="1052"/>
      <c r="X46" s="1052"/>
      <c r="Y46" s="1052"/>
      <c r="Z46" s="1052"/>
      <c r="AA46" s="1077"/>
      <c r="AB46" s="1052"/>
      <c r="AC46" s="1052"/>
      <c r="AD46" s="1052"/>
      <c r="AE46" s="1052"/>
      <c r="AF46" s="1052"/>
      <c r="AG46" s="1052"/>
      <c r="AH46" s="1052"/>
      <c r="AI46" s="1052"/>
      <c r="AJ46" s="1077"/>
      <c r="AK46" s="981"/>
      <c r="AM46" s="150"/>
      <c r="AN46" s="150" t="str">
        <f t="shared" si="1"/>
        <v/>
      </c>
      <c r="AO46" s="150"/>
      <c r="AP46" s="150"/>
      <c r="AQ46" s="43">
        <v>0</v>
      </c>
    </row>
    <row r="47" s="43" customFormat="1" hidden="1" customHeight="1" spans="1:43">
      <c r="A47" s="1131" t="s">
        <v>206</v>
      </c>
      <c r="B47" s="1131" t="s">
        <v>207</v>
      </c>
      <c r="C47" s="1131" t="s">
        <v>208</v>
      </c>
      <c r="D47" s="1131" t="s">
        <v>209</v>
      </c>
      <c r="E47" s="1130"/>
      <c r="F47" s="1130"/>
      <c r="G47" s="1130"/>
      <c r="H47" s="1130"/>
      <c r="I47" s="125"/>
      <c r="J47" s="63" t="str">
        <f>S45&amp;".1"</f>
        <v>....1</v>
      </c>
      <c r="K47" s="1131"/>
      <c r="L47" s="1133"/>
      <c r="M47" s="73"/>
      <c r="N47" s="73"/>
      <c r="O47" s="73"/>
      <c r="P47" s="92"/>
      <c r="Q47" s="92">
        <v>1</v>
      </c>
      <c r="R47" s="96"/>
      <c r="S47" s="329"/>
      <c r="T47" s="1054"/>
      <c r="U47" s="1051"/>
      <c r="V47" s="1052"/>
      <c r="W47" s="1052"/>
      <c r="X47" s="1052"/>
      <c r="Y47" s="1052"/>
      <c r="Z47" s="1052"/>
      <c r="AA47" s="1077"/>
      <c r="AB47" s="1052"/>
      <c r="AC47" s="1052"/>
      <c r="AD47" s="1052"/>
      <c r="AE47" s="1052"/>
      <c r="AF47" s="1052"/>
      <c r="AG47" s="1052"/>
      <c r="AH47" s="1052"/>
      <c r="AI47" s="1052"/>
      <c r="AJ47" s="1077"/>
      <c r="AK47" s="981"/>
      <c r="AM47" s="150"/>
      <c r="AN47" s="150" t="str">
        <f t="shared" si="1"/>
        <v/>
      </c>
      <c r="AO47" s="150"/>
      <c r="AP47" s="150"/>
      <c r="AQ47" s="43">
        <v>0</v>
      </c>
    </row>
    <row r="48" ht="22.05" customHeight="1" spans="1:43">
      <c r="A48" s="499" t="s">
        <v>206</v>
      </c>
      <c r="B48" s="499" t="s">
        <v>207</v>
      </c>
      <c r="C48" s="499" t="s">
        <v>208</v>
      </c>
      <c r="D48" s="499" t="s">
        <v>209</v>
      </c>
      <c r="E48" s="1130"/>
      <c r="F48" s="1130"/>
      <c r="G48" s="1130"/>
      <c r="H48" s="1130"/>
      <c r="I48" s="125"/>
      <c r="J48" s="125"/>
      <c r="K48" s="63" t="str">
        <f>S45&amp;".1"</f>
        <v>....1</v>
      </c>
      <c r="L48" s="533"/>
      <c r="P48" s="92"/>
      <c r="Q48" s="92"/>
      <c r="R48" s="96">
        <v>1</v>
      </c>
      <c r="S48" s="1056" t="str">
        <f>$K48</f>
        <v>....1</v>
      </c>
      <c r="T48" s="1137"/>
      <c r="U48" s="83"/>
      <c r="V48" s="101"/>
      <c r="W48" s="137"/>
      <c r="X48" s="138"/>
      <c r="Y48" s="139" t="s">
        <v>62</v>
      </c>
      <c r="Z48" s="138"/>
      <c r="AA48" s="139" t="s">
        <v>62</v>
      </c>
      <c r="AB48" s="1057"/>
      <c r="AC48" s="1092" t="s">
        <v>28</v>
      </c>
      <c r="AD48" s="101"/>
      <c r="AE48" s="137"/>
      <c r="AF48" s="138"/>
      <c r="AG48" s="139" t="s">
        <v>62</v>
      </c>
      <c r="AH48" s="138"/>
      <c r="AI48" s="139" t="s">
        <v>62</v>
      </c>
      <c r="AJ48" s="1106"/>
      <c r="AK48" s="140" t="s">
        <v>482</v>
      </c>
      <c r="AL48" s="43" t="e">
        <f>STRCHECKDATE(#REF!)</f>
        <v>#NAME?</v>
      </c>
      <c r="AM48" s="150"/>
      <c r="AN48" s="150" t="str">
        <f t="shared" si="1"/>
        <v/>
      </c>
      <c r="AO48" s="150"/>
      <c r="AP48" s="150"/>
      <c r="AQ48" s="42">
        <v>21</v>
      </c>
    </row>
    <row r="49" ht="11.55" customHeight="1" spans="1:43">
      <c r="A49" s="499" t="s">
        <v>206</v>
      </c>
      <c r="B49" s="499" t="s">
        <v>207</v>
      </c>
      <c r="C49" s="499" t="s">
        <v>208</v>
      </c>
      <c r="D49" s="499" t="s">
        <v>209</v>
      </c>
      <c r="E49" s="1130"/>
      <c r="F49" s="1130"/>
      <c r="G49" s="1130"/>
      <c r="H49" s="1130"/>
      <c r="I49" s="125"/>
      <c r="J49" s="63"/>
      <c r="K49" s="499"/>
      <c r="L49" s="533"/>
      <c r="P49" s="92"/>
      <c r="Q49" s="92"/>
      <c r="R49" s="93"/>
      <c r="S49" s="104"/>
      <c r="T49" s="107" t="s">
        <v>470</v>
      </c>
      <c r="U49" s="106"/>
      <c r="V49" s="106"/>
      <c r="W49" s="106"/>
      <c r="X49" s="106"/>
      <c r="Y49" s="106"/>
      <c r="Z49" s="106"/>
      <c r="AA49" s="144"/>
      <c r="AB49" s="106"/>
      <c r="AC49" s="106"/>
      <c r="AD49" s="106"/>
      <c r="AE49" s="106"/>
      <c r="AF49" s="106"/>
      <c r="AG49" s="106"/>
      <c r="AH49" s="106"/>
      <c r="AI49" s="106"/>
      <c r="AJ49" s="144"/>
      <c r="AK49" s="145"/>
      <c r="AM49" s="150"/>
      <c r="AN49" s="150" t="str">
        <f t="shared" si="1"/>
        <v>Добавить строку</v>
      </c>
      <c r="AO49" s="150"/>
      <c r="AP49" s="150"/>
      <c r="AQ49" s="42">
        <v>11</v>
      </c>
    </row>
    <row r="50" s="43" customFormat="1" ht="1.05" customHeight="1" spans="1:43">
      <c r="A50" s="1131" t="s">
        <v>206</v>
      </c>
      <c r="B50" s="1131" t="s">
        <v>207</v>
      </c>
      <c r="C50" s="1131" t="s">
        <v>208</v>
      </c>
      <c r="D50" s="1131" t="s">
        <v>209</v>
      </c>
      <c r="E50" s="1130"/>
      <c r="F50" s="1130"/>
      <c r="G50" s="1130"/>
      <c r="H50" s="1130"/>
      <c r="I50" s="63"/>
      <c r="J50" s="1131"/>
      <c r="K50" s="1131"/>
      <c r="L50" s="1133"/>
      <c r="M50" s="73"/>
      <c r="N50" s="73"/>
      <c r="O50" s="73"/>
      <c r="P50" s="92"/>
      <c r="Q50" s="92"/>
      <c r="R50" s="93"/>
      <c r="S50" s="1065"/>
      <c r="T50" s="1066" t="s">
        <v>417</v>
      </c>
      <c r="U50" s="1067"/>
      <c r="V50" s="1067"/>
      <c r="W50" s="1067"/>
      <c r="X50" s="1067"/>
      <c r="Y50" s="1067"/>
      <c r="Z50" s="1067"/>
      <c r="AA50" s="1067"/>
      <c r="AB50" s="1067"/>
      <c r="AC50" s="1067"/>
      <c r="AD50" s="1067"/>
      <c r="AE50" s="1067"/>
      <c r="AF50" s="1067"/>
      <c r="AG50" s="1067"/>
      <c r="AH50" s="1067"/>
      <c r="AI50" s="1067"/>
      <c r="AJ50" s="1067"/>
      <c r="AK50" s="1109"/>
      <c r="AM50" s="150"/>
      <c r="AN50" s="150" t="str">
        <f t="shared" si="1"/>
        <v>Добавить группу потребителей</v>
      </c>
      <c r="AO50" s="150"/>
      <c r="AP50" s="150"/>
      <c r="AQ50" s="43">
        <v>1</v>
      </c>
    </row>
    <row r="51" s="36" customFormat="1" ht="1.05" customHeight="1" spans="1:43">
      <c r="A51" s="1131" t="s">
        <v>206</v>
      </c>
      <c r="B51" s="1131" t="s">
        <v>207</v>
      </c>
      <c r="C51" s="1131" t="s">
        <v>208</v>
      </c>
      <c r="D51" s="1131" t="s">
        <v>209</v>
      </c>
      <c r="E51" s="1130"/>
      <c r="F51" s="1130"/>
      <c r="G51" s="1130"/>
      <c r="H51" s="1129"/>
      <c r="I51" s="1131"/>
      <c r="J51" s="1131"/>
      <c r="K51" s="1131"/>
      <c r="L51" s="1133"/>
      <c r="M51" s="1134"/>
      <c r="N51" s="1134"/>
      <c r="P51" s="151"/>
      <c r="Q51" s="1068"/>
      <c r="R51" s="1139"/>
      <c r="S51" s="1065"/>
      <c r="T51" s="1066"/>
      <c r="U51" s="1067"/>
      <c r="V51" s="1067"/>
      <c r="W51" s="1067"/>
      <c r="X51" s="1067"/>
      <c r="Y51" s="1067"/>
      <c r="Z51" s="1067"/>
      <c r="AA51" s="1067"/>
      <c r="AB51" s="1067"/>
      <c r="AC51" s="1067"/>
      <c r="AD51" s="1067"/>
      <c r="AE51" s="1067"/>
      <c r="AF51" s="1067"/>
      <c r="AG51" s="1067"/>
      <c r="AH51" s="1067"/>
      <c r="AI51" s="1067"/>
      <c r="AJ51" s="1067"/>
      <c r="AK51" s="1109"/>
      <c r="AL51" s="43"/>
      <c r="AM51" s="150"/>
      <c r="AN51" s="150" t="str">
        <f t="shared" si="1"/>
        <v/>
      </c>
      <c r="AO51" s="150"/>
      <c r="AP51" s="150"/>
      <c r="AQ51" s="36">
        <v>1</v>
      </c>
    </row>
    <row r="52" s="43" customFormat="1" ht="1.05" customHeight="1" spans="1:43">
      <c r="A52" s="1131" t="s">
        <v>206</v>
      </c>
      <c r="B52" s="1131" t="s">
        <v>207</v>
      </c>
      <c r="C52" s="1131" t="s">
        <v>208</v>
      </c>
      <c r="D52" s="1131"/>
      <c r="E52" s="1130"/>
      <c r="F52" s="1130"/>
      <c r="G52" s="1129"/>
      <c r="H52" s="1131"/>
      <c r="I52" s="1131"/>
      <c r="J52" s="1131"/>
      <c r="K52" s="1131"/>
      <c r="L52" s="1133"/>
      <c r="M52" s="1134"/>
      <c r="N52" s="1134"/>
      <c r="O52" s="36"/>
      <c r="P52" s="151"/>
      <c r="Q52" s="1068"/>
      <c r="R52" s="151"/>
      <c r="S52" s="1070"/>
      <c r="T52" s="1071" t="s">
        <v>419</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источник для дифференциации</v>
      </c>
      <c r="AO52" s="150"/>
      <c r="AP52" s="150"/>
      <c r="AQ52" s="43">
        <v>1</v>
      </c>
    </row>
    <row r="53" s="43" customFormat="1" ht="1.05" customHeight="1" spans="1:43">
      <c r="A53" s="1131" t="s">
        <v>206</v>
      </c>
      <c r="B53" s="1131" t="s">
        <v>207</v>
      </c>
      <c r="C53" s="1131"/>
      <c r="D53" s="1131"/>
      <c r="E53" s="1130"/>
      <c r="F53" s="1129"/>
      <c r="G53" s="1131"/>
      <c r="H53" s="1131"/>
      <c r="I53" s="1131"/>
      <c r="J53" s="1131"/>
      <c r="K53" s="1131"/>
      <c r="L53" s="1133"/>
      <c r="M53" s="1135"/>
      <c r="N53" s="1135"/>
      <c r="O53" s="36"/>
      <c r="P53" s="151"/>
      <c r="Q53" s="1068"/>
      <c r="R53" s="151"/>
      <c r="S53" s="1070"/>
      <c r="T53" s="1071" t="s">
        <v>251</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централизованную систему для дифференциации</v>
      </c>
      <c r="AO53" s="150"/>
      <c r="AP53" s="150"/>
      <c r="AQ53" s="43">
        <v>1</v>
      </c>
    </row>
    <row r="54" s="43" customFormat="1" ht="1.05" customHeight="1" spans="1:43">
      <c r="A54" s="1131" t="s">
        <v>206</v>
      </c>
      <c r="B54" s="1131"/>
      <c r="C54" s="1131"/>
      <c r="D54" s="1131"/>
      <c r="E54" s="1130"/>
      <c r="F54" s="1131"/>
      <c r="G54" s="1131"/>
      <c r="H54" s="1131"/>
      <c r="I54" s="1131"/>
      <c r="J54" s="1131"/>
      <c r="K54" s="1131"/>
      <c r="L54" s="1133"/>
      <c r="M54" s="1135"/>
      <c r="N54" s="1135"/>
      <c r="O54" s="36"/>
      <c r="P54" s="151"/>
      <c r="Q54" s="1068"/>
      <c r="R54" s="151"/>
      <c r="S54" s="1070"/>
      <c r="T54" s="1071" t="s">
        <v>252</v>
      </c>
      <c r="U54" s="306"/>
      <c r="V54" s="306"/>
      <c r="W54" s="306"/>
      <c r="X54" s="306"/>
      <c r="Y54" s="306"/>
      <c r="Z54" s="306"/>
      <c r="AA54" s="306"/>
      <c r="AB54" s="306"/>
      <c r="AC54" s="306"/>
      <c r="AD54" s="306"/>
      <c r="AE54" s="306"/>
      <c r="AF54" s="306"/>
      <c r="AG54" s="306"/>
      <c r="AH54" s="306"/>
      <c r="AI54" s="306"/>
      <c r="AJ54" s="306"/>
      <c r="AK54" s="306"/>
      <c r="AM54" s="150"/>
      <c r="AN54" s="150" t="str">
        <f t="shared" si="1"/>
        <v>Добавить территорию для дифференциации</v>
      </c>
      <c r="AO54" s="150"/>
      <c r="AP54" s="150"/>
      <c r="AQ54" s="43">
        <v>1</v>
      </c>
    </row>
    <row r="55" s="43" customFormat="1" ht="1.05" customHeight="1" spans="1:43">
      <c r="A55" s="1131" t="s">
        <v>206</v>
      </c>
      <c r="B55" s="1131"/>
      <c r="C55" s="1131"/>
      <c r="D55" s="1131"/>
      <c r="E55" s="1129"/>
      <c r="F55" s="1131"/>
      <c r="G55" s="1131"/>
      <c r="H55" s="1131"/>
      <c r="I55" s="1131"/>
      <c r="J55" s="1131"/>
      <c r="K55" s="1131"/>
      <c r="L55" s="1133"/>
      <c r="M55" s="1135"/>
      <c r="N55" s="1135"/>
      <c r="O55" s="36"/>
      <c r="P55" s="151"/>
      <c r="Q55" s="1068"/>
      <c r="R55" s="151"/>
      <c r="S55" s="1070"/>
      <c r="T55" s="1071" t="s">
        <v>252</v>
      </c>
      <c r="U55" s="306"/>
      <c r="V55" s="306"/>
      <c r="W55" s="306"/>
      <c r="X55" s="306"/>
      <c r="Y55" s="306"/>
      <c r="Z55" s="306"/>
      <c r="AA55" s="306"/>
      <c r="AB55" s="306"/>
      <c r="AC55" s="306"/>
      <c r="AD55" s="306"/>
      <c r="AE55" s="306"/>
      <c r="AF55" s="306"/>
      <c r="AG55" s="306"/>
      <c r="AH55" s="306"/>
      <c r="AI55" s="306"/>
      <c r="AJ55" s="306"/>
      <c r="AK55" s="306"/>
      <c r="AM55" s="150"/>
      <c r="AN55" s="150" t="str">
        <f t="shared" si="1"/>
        <v>Добавить территорию для дифференциации</v>
      </c>
      <c r="AO55" s="150"/>
      <c r="AP55" s="150"/>
      <c r="AQ55" s="43">
        <v>1</v>
      </c>
    </row>
    <row r="56" s="43" customFormat="1" ht="1.05" customHeight="1" spans="1:43">
      <c r="A56" s="1131"/>
      <c r="B56" s="1131"/>
      <c r="C56" s="1131"/>
      <c r="D56" s="1131"/>
      <c r="E56" s="1131"/>
      <c r="F56" s="1131"/>
      <c r="G56" s="1131"/>
      <c r="H56" s="1131"/>
      <c r="I56" s="1131"/>
      <c r="J56" s="1131"/>
      <c r="K56" s="1131"/>
      <c r="L56" s="1133"/>
      <c r="M56" s="1135"/>
      <c r="N56" s="1135"/>
      <c r="O56" s="36"/>
      <c r="P56" s="151"/>
      <c r="Q56" s="1068"/>
      <c r="R56" s="151"/>
      <c r="S56" s="1070"/>
      <c r="T56" s="1071" t="s">
        <v>253</v>
      </c>
      <c r="U56" s="306"/>
      <c r="V56" s="306"/>
      <c r="W56" s="306"/>
      <c r="X56" s="306"/>
      <c r="Y56" s="306"/>
      <c r="Z56" s="306"/>
      <c r="AA56" s="306"/>
      <c r="AB56" s="306"/>
      <c r="AC56" s="306"/>
      <c r="AD56" s="306"/>
      <c r="AE56" s="306"/>
      <c r="AF56" s="306"/>
      <c r="AG56" s="306"/>
      <c r="AH56" s="306"/>
      <c r="AI56" s="306"/>
      <c r="AJ56" s="306"/>
      <c r="AK56" s="306"/>
      <c r="AM56" s="150"/>
      <c r="AN56" s="150" t="str">
        <f t="shared" si="1"/>
        <v>Добавить наименование тарифа</v>
      </c>
      <c r="AO56" s="150"/>
      <c r="AP56" s="150"/>
      <c r="AQ56" s="43">
        <v>1</v>
      </c>
    </row>
    <row r="57" ht="11.55" customHeight="1" spans="13:43">
      <c r="M57" s="42"/>
      <c r="N57" s="42"/>
      <c r="O57" s="42"/>
      <c r="P57" s="37"/>
      <c r="Q57" s="37"/>
      <c r="R57" s="42"/>
      <c r="S57" s="42"/>
      <c r="AL57" s="42"/>
      <c r="AM57" s="42"/>
      <c r="AN57" s="42"/>
      <c r="AO57" s="42"/>
      <c r="AP57" s="42"/>
      <c r="AQ57" s="42">
        <v>11</v>
      </c>
    </row>
    <row r="58" ht="19.95" customHeight="1" spans="15:43">
      <c r="O58" s="42"/>
      <c r="S58" s="781"/>
      <c r="T58" s="119"/>
      <c r="U58" s="119"/>
      <c r="V58" s="119"/>
      <c r="W58" s="119"/>
      <c r="X58" s="119"/>
      <c r="Y58" s="119"/>
      <c r="Z58" s="119"/>
      <c r="AA58" s="119"/>
      <c r="AB58" s="119"/>
      <c r="AC58" s="119"/>
      <c r="AD58" s="119"/>
      <c r="AE58" s="119"/>
      <c r="AF58" s="119"/>
      <c r="AG58" s="119"/>
      <c r="AH58" s="119"/>
      <c r="AI58" s="119"/>
      <c r="AJ58" s="119"/>
      <c r="AK58" s="119"/>
      <c r="AQ58" s="42">
        <v>19</v>
      </c>
    </row>
    <row r="59" ht="21" customHeight="1" spans="15:43">
      <c r="O59" s="42"/>
      <c r="T59" s="119"/>
      <c r="U59" s="119"/>
      <c r="V59" s="119"/>
      <c r="W59" s="119"/>
      <c r="X59" s="119"/>
      <c r="Y59" s="119"/>
      <c r="Z59" s="119"/>
      <c r="AA59" s="119"/>
      <c r="AB59" s="119"/>
      <c r="AC59" s="119"/>
      <c r="AD59" s="119"/>
      <c r="AE59" s="119"/>
      <c r="AF59" s="119"/>
      <c r="AG59" s="119"/>
      <c r="AH59" s="119"/>
      <c r="AI59" s="119"/>
      <c r="AJ59" s="119"/>
      <c r="AK59" s="119"/>
      <c r="AQ59" s="42">
        <v>20</v>
      </c>
    </row>
    <row r="60" ht="14.7" customHeight="1" spans="15:43">
      <c r="O60" s="42"/>
      <c r="T60" s="119"/>
      <c r="U60" s="119"/>
      <c r="V60" s="119"/>
      <c r="W60" s="119"/>
      <c r="X60" s="119"/>
      <c r="Y60" s="119"/>
      <c r="Z60" s="119"/>
      <c r="AA60" s="119"/>
      <c r="AB60" s="119"/>
      <c r="AC60" s="119"/>
      <c r="AD60" s="119"/>
      <c r="AE60" s="119"/>
      <c r="AF60" s="119"/>
      <c r="AG60" s="119"/>
      <c r="AH60" s="119"/>
      <c r="AI60" s="119"/>
      <c r="AJ60" s="119"/>
      <c r="AK60" s="119"/>
      <c r="AQ60" s="42">
        <v>14</v>
      </c>
    </row>
    <row r="61" ht="19.95" customHeight="1" spans="15:43">
      <c r="O61" s="42"/>
      <c r="T61" s="119"/>
      <c r="U61" s="119"/>
      <c r="V61" s="119"/>
      <c r="W61" s="119"/>
      <c r="X61" s="119"/>
      <c r="Y61" s="119"/>
      <c r="Z61" s="119"/>
      <c r="AA61" s="119"/>
      <c r="AB61" s="119"/>
      <c r="AC61" s="119"/>
      <c r="AD61" s="119"/>
      <c r="AE61" s="119"/>
      <c r="AF61" s="119"/>
      <c r="AG61" s="119"/>
      <c r="AH61" s="119"/>
      <c r="AI61" s="119"/>
      <c r="AJ61" s="119"/>
      <c r="AK61" s="119"/>
      <c r="AQ61" s="42">
        <v>19</v>
      </c>
    </row>
    <row r="62" ht="16.8" customHeight="1" spans="15:43">
      <c r="O62" s="42"/>
      <c r="T62" s="119"/>
      <c r="U62" s="119"/>
      <c r="V62" s="119"/>
      <c r="W62" s="119"/>
      <c r="X62" s="119"/>
      <c r="Y62" s="119"/>
      <c r="Z62" s="119"/>
      <c r="AA62" s="119"/>
      <c r="AB62" s="119"/>
      <c r="AC62" s="119"/>
      <c r="AD62" s="119"/>
      <c r="AE62" s="119"/>
      <c r="AF62" s="119"/>
      <c r="AG62" s="119"/>
      <c r="AH62" s="119"/>
      <c r="AI62" s="119"/>
      <c r="AJ62" s="119"/>
      <c r="AK62" s="119"/>
      <c r="AQ62" s="42">
        <v>16</v>
      </c>
    </row>
    <row r="63" ht="14.7" customHeight="1" spans="15:43">
      <c r="O63" s="42"/>
      <c r="AQ63" s="42">
        <v>14</v>
      </c>
    </row>
    <row r="64" ht="22.5" hidden="1" customHeight="1" spans="1:43">
      <c r="A64" s="42" t="s">
        <v>83</v>
      </c>
      <c r="B64" s="42">
        <v>0</v>
      </c>
      <c r="C64" s="42">
        <v>0</v>
      </c>
      <c r="D64" s="42">
        <v>0</v>
      </c>
      <c r="E64" s="42">
        <v>0</v>
      </c>
      <c r="F64" s="42">
        <v>0</v>
      </c>
      <c r="G64" s="42">
        <v>0</v>
      </c>
      <c r="H64" s="42">
        <v>0</v>
      </c>
      <c r="I64" s="42">
        <v>0</v>
      </c>
      <c r="J64" s="42">
        <v>0</v>
      </c>
      <c r="K64" s="42">
        <v>0</v>
      </c>
      <c r="L64" s="85">
        <v>0</v>
      </c>
      <c r="M64" s="39">
        <v>0</v>
      </c>
      <c r="N64" s="39">
        <v>0</v>
      </c>
      <c r="O64" s="39">
        <v>0</v>
      </c>
      <c r="P64" s="38">
        <v>3</v>
      </c>
      <c r="Q64" s="1037">
        <v>3</v>
      </c>
      <c r="R64" s="40">
        <v>3</v>
      </c>
      <c r="S64" s="41">
        <v>12</v>
      </c>
      <c r="T64" s="42">
        <v>31</v>
      </c>
      <c r="U64" s="42">
        <v>0</v>
      </c>
      <c r="V64" s="42">
        <v>0</v>
      </c>
      <c r="W64" s="42">
        <v>0</v>
      </c>
      <c r="X64" s="42">
        <v>0</v>
      </c>
      <c r="Y64" s="42">
        <v>0</v>
      </c>
      <c r="Z64" s="42">
        <v>0</v>
      </c>
      <c r="AA64" s="42">
        <v>0</v>
      </c>
      <c r="AB64" s="42">
        <v>27</v>
      </c>
      <c r="AC64" s="42">
        <v>24</v>
      </c>
      <c r="AD64" s="42">
        <v>21</v>
      </c>
      <c r="AE64" s="42">
        <v>21</v>
      </c>
      <c r="AF64" s="42">
        <v>11</v>
      </c>
      <c r="AG64" s="42">
        <v>3</v>
      </c>
      <c r="AH64" s="42">
        <v>11</v>
      </c>
      <c r="AI64" s="42">
        <v>8</v>
      </c>
      <c r="AJ64" s="42">
        <v>4</v>
      </c>
      <c r="AK64" s="42">
        <v>115</v>
      </c>
      <c r="AL64" s="43">
        <v>10</v>
      </c>
      <c r="AM64" s="43">
        <v>10</v>
      </c>
      <c r="AN64" s="43">
        <v>10</v>
      </c>
      <c r="AO64" s="43">
        <v>10</v>
      </c>
      <c r="AP64" s="43">
        <v>10</v>
      </c>
      <c r="AQ64" s="42">
        <v>23</v>
      </c>
    </row>
  </sheetData>
  <sheetProtection insertRows="0" deleteColumns="0" deleteRows="0" sort="0" autoFilter="0"/>
  <mergeCells count="89">
    <mergeCell ref="V2:AA2"/>
    <mergeCell ref="AC2:AJ2"/>
    <mergeCell ref="V3:AA3"/>
    <mergeCell ref="AC3:AJ3"/>
    <mergeCell ref="V4:AA4"/>
    <mergeCell ref="AC4:AJ4"/>
    <mergeCell ref="V5:AA5"/>
    <mergeCell ref="AC5:AJ5"/>
    <mergeCell ref="V6:AA6"/>
    <mergeCell ref="AC6:AJ6"/>
    <mergeCell ref="V7:AA7"/>
    <mergeCell ref="AC7:AJ7"/>
    <mergeCell ref="S24:AH24"/>
    <mergeCell ref="S25:AH25"/>
    <mergeCell ref="S27:T27"/>
    <mergeCell ref="V27:Z27"/>
    <mergeCell ref="AC27:AH27"/>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V37:Z37"/>
    <mergeCell ref="AD37:AH37"/>
    <mergeCell ref="V38:W38"/>
    <mergeCell ref="AD38:AE38"/>
    <mergeCell ref="V39:W39"/>
    <mergeCell ref="AD39:AE39"/>
    <mergeCell ref="Y40:Z40"/>
    <mergeCell ref="AG40:AH40"/>
    <mergeCell ref="Y41:Z41"/>
    <mergeCell ref="AG41:AH41"/>
    <mergeCell ref="V42:AA42"/>
    <mergeCell ref="AC42:AJ42"/>
    <mergeCell ref="V43:AA43"/>
    <mergeCell ref="AC43:AJ43"/>
    <mergeCell ref="V44:AA44"/>
    <mergeCell ref="AC44:AJ44"/>
    <mergeCell ref="V45:AA45"/>
    <mergeCell ref="AC45:AJ45"/>
    <mergeCell ref="V46:AA46"/>
    <mergeCell ref="AC46:AJ46"/>
    <mergeCell ref="V47:AA47"/>
    <mergeCell ref="AC47:AJ47"/>
    <mergeCell ref="T58:AK58"/>
    <mergeCell ref="T59:AK59"/>
    <mergeCell ref="T61:AK61"/>
    <mergeCell ref="T62:AK62"/>
    <mergeCell ref="E2:E14"/>
    <mergeCell ref="E42:E55"/>
    <mergeCell ref="F3:F13"/>
    <mergeCell ref="F43:F53"/>
    <mergeCell ref="G4:G12"/>
    <mergeCell ref="G44:G52"/>
    <mergeCell ref="H5:H11"/>
    <mergeCell ref="H45:H51"/>
    <mergeCell ref="I6:I10"/>
    <mergeCell ref="I46:I50"/>
    <mergeCell ref="J7:J9"/>
    <mergeCell ref="J47:J49"/>
    <mergeCell ref="P6:P10"/>
    <mergeCell ref="P46:P50"/>
    <mergeCell ref="Q7:Q9"/>
    <mergeCell ref="Q47:Q49"/>
    <mergeCell ref="S37:S40"/>
    <mergeCell ref="T37:T40"/>
    <mergeCell ref="AA37:AA40"/>
    <mergeCell ref="AB37:AB40"/>
    <mergeCell ref="AC37:AC40"/>
    <mergeCell ref="AI37:AI40"/>
    <mergeCell ref="AJ37:AJ40"/>
    <mergeCell ref="AK8:AK9"/>
    <mergeCell ref="AK36:AK40"/>
    <mergeCell ref="AK48:AK49"/>
    <mergeCell ref="X38:Z39"/>
    <mergeCell ref="AF38:AH39"/>
  </mergeCells>
  <dataValidations count="11">
    <dataValidation type="textLength" operator="lessThanOrEqual" allowBlank="1" showInputMessage="1" showErrorMessage="1" errorTitle="Ошибка" error="Допускается ввод не более 900 символов!" sqref="T8 AB8 T48 AB48 AK65578:AK65585 AK131114:AK131121 AK196650:AK196657 AK262186:AK262193 AK327722:AK327729 AK393258:AK393265 AK458794:AK458801 AK524330:AK524337 AK589866:AK589873 AK655402:AK655409 AK720938:AK720945 AK786474:AK786481 AK852010:AK852017 AK917546:AK917553 AK983082:AK98308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8 Z8 AF8 AH8 AF16 AH16 X48 Z48 AF48 AH48 X65584 Z65584 AF65584 AH65584 X131120 Z131120 AF131120 AH131120 X196656 Z196656 AF196656 AH196656 X262192 Z262192 AF262192 AH262192 X327728 Z327728 AF327728 AH327728 X393264 Z393264 AF393264 AH393264 X458800 Z458800 AF458800 AH458800 X524336 Z524336 AF524336 AH524336 X589872 Z589872 AF589872 AH589872 X655408 Z655408 AF655408 AH655408 X720944 Z720944 AF720944 AH720944 X786480 Z786480 AF786480 AH786480 X852016 Z852016 AF852016 AH852016 X917552 Z917552 AF917552 AH917552 X983088 Z983088 AF983088 AH983088"/>
    <dataValidation allowBlank="1" showInputMessage="1" showErrorMessage="1" prompt="Для выбора выполните двойной щелчок левой клавиши мыши по соответствующей ячейке." sqref="Y8 AA8 AG8 AI8 AC16 AG16 AI16 Y48 AA48 AG48 AI48 Y65584 AA65584:AB65584 AG65584 AI65584 Y131120 AA131120:AB131120 AG131120 AI131120 Y196656 AA196656:AB196656 AG196656 AI196656 Y262192 AA262192:AB262192 AG262192 AI262192 Y327728 AA327728:AB327728 AG327728 AI327728 Y393264 AA393264:AB393264 AG393264 AI393264 Y458800 AA458800:AB458800 AG458800 AI458800 Y524336 AA524336:AB524336 AG524336 AI524336 Y589872 AA589872:AB589872 AG589872 AI589872 Y655408 AA655408:AB655408 AG655408 AI655408 Y720944 AA720944:AB720944 AG720944 AI720944 Y786480 AA786480:AB786480 AG786480 AI786480 Y852016 AA852016:AB852016 AG852016 AI852016 Y917552 AA917552:AB917552 AG917552 AI917552 Y983088 AA983088:AB983088 AG983088 AI983088"/>
    <dataValidation type="decimal" operator="between" allowBlank="1" showErrorMessage="1" errorTitle="Ошибка" error="Допускается ввод только действительных чисел!" sqref="AC8 AC48">
      <formula1>-9.99999999999999E+23</formula1>
      <formula2>9.99999999999999E+23</formula2>
    </dataValidation>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AC65582 AC131118 AC196654 AC262190 AC327726 AC393262 AC458798 AC524334 AC589870 AC655406 AC720942 AC786478 AC852014 AC917550 AC983086">
      <formula1>kind_of_scheme_in</formula1>
    </dataValidation>
    <dataValidation type="list" allowBlank="1" showInputMessage="1" errorTitle="Ошибка" error="Выберите значение из списка" prompt="Выберите значение из списка" sqref="V65583:AJ65583 V131119:AJ131119 V196655:AJ196655 V262191:AJ262191 V327727:AJ327727 V393263:AJ393263 V458799:AJ458799 V524335:AJ524335 V589871:AJ589871 V655407:AJ655407 V720943:AJ720943 V786479:AJ786479 V852015:AJ852015 V917551:AJ917551 V983087:AJ983087">
      <formula1>kind_of_cons</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promptTitle="checkPeriodRange" sqref="W65585 AE65585 W131121 AE131121 W196657 AE196657 W262193 AE262193 W327729 AE327729 W393265 AE393265 W458801 AE458801 W524337 AE524337 W589873 AE589873 W655409 AE655409 W720945 AE720945 W786481 AE786481 W852017 AE852017 W917553 AE917553 W983089 AE983089"/>
    <dataValidation allowBlank="1" sqref="S131122:AK131128 S589874:AK589880 S196658:AK196664 S655410:AK655416 S262194:AK262200 S720946:AK720952 S327730:AK327736 S786482:AK786488 S393266:AK393272 S852018:AK852024 S458802:AK458808 S917554:AK917560 S65586:AK65592 S524338:AK524344 S983090:AK983096"/>
  </dataValidations>
  <pageMargins left="0.7" right="0.7" top="0.75" bottom="0.75" header="0.3" footer="0.3"/>
  <pageSetup paperSize="1"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I81"/>
  <sheetViews>
    <sheetView showGridLines="0" zoomScale="90" zoomScaleNormal="90" workbookViewId="0">
      <pane xSplit="29" ySplit="45" topLeftCell="AD58" activePane="bottomRight" state="frozen"/>
      <selection/>
      <selection pane="topRight"/>
      <selection pane="bottomLeft"/>
      <selection pane="bottomRight" activeCell="AZ65" sqref="AZ65"/>
    </sheetView>
  </sheetViews>
  <sheetFormatPr defaultColWidth="10.5714285714286" defaultRowHeight="14.25" customHeight="1"/>
  <cols>
    <col min="1" max="1" width="11.5714285714286" style="37" hidden="1" customWidth="1"/>
    <col min="2" max="2" width="11" style="37" hidden="1" customWidth="1"/>
    <col min="3" max="3" width="10.5714285714286" style="37" hidden="1"/>
    <col min="4" max="4" width="12.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8" hidden="1" customWidth="1"/>
    <col min="17" max="17" width="3.71428571428571" style="1037" hidden="1" customWidth="1"/>
    <col min="18" max="18" width="3" style="40" customWidth="1"/>
    <col min="19" max="19" width="12" style="41" customWidth="1"/>
    <col min="20" max="20" width="31" style="42" customWidth="1"/>
    <col min="21" max="21" width="0.142857142857143" style="42" customWidth="1"/>
    <col min="22" max="25" width="21.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3.71428571428571" style="42" customWidth="1"/>
    <col min="31" max="32" width="3" style="42" customWidth="1"/>
    <col min="33" max="33" width="24" style="42" customWidth="1"/>
    <col min="34" max="34" width="3.71428571428571" style="42" customWidth="1"/>
    <col min="35" max="36" width="3" style="42" customWidth="1"/>
    <col min="37" max="37" width="24" style="42" customWidth="1"/>
    <col min="38" max="38" width="3.71428571428571" style="42" customWidth="1"/>
    <col min="39" max="40" width="3" style="42" customWidth="1"/>
    <col min="41" max="41" width="18" style="42" customWidth="1"/>
    <col min="42" max="42" width="3.71428571428571" style="42" customWidth="1"/>
    <col min="43" max="44" width="3" style="42" customWidth="1"/>
    <col min="45" max="45" width="18" style="42" customWidth="1"/>
    <col min="46" max="49" width="21" style="42" customWidth="1"/>
    <col min="50" max="50" width="11" style="42" customWidth="1"/>
    <col min="51" max="51" width="3.71428571428571" style="42" customWidth="1"/>
    <col min="52" max="52" width="11" style="42" customWidth="1"/>
    <col min="53" max="53" width="8.57142857142857" style="42" hidden="1" customWidth="1"/>
    <col min="54" max="54" width="4" style="42" customWidth="1"/>
    <col min="55" max="55" width="115" style="42" customWidth="1"/>
    <col min="56" max="60" width="10" style="43" customWidth="1"/>
    <col min="61" max="61" width="10.5714285714286" style="42" hidden="1"/>
  </cols>
  <sheetData>
    <row r="1" ht="22.5" hidden="1" customHeight="1" spans="61:61">
      <c r="BI1" s="42" t="s">
        <v>14</v>
      </c>
    </row>
    <row r="2" ht="21" hidden="1" customHeight="1" spans="1:61">
      <c r="A2" s="45"/>
      <c r="B2" s="45"/>
      <c r="C2" s="45"/>
      <c r="D2" s="45"/>
      <c r="E2" s="1038">
        <v>1</v>
      </c>
      <c r="F2" s="45"/>
      <c r="G2" s="45"/>
      <c r="H2" s="45"/>
      <c r="I2" s="45"/>
      <c r="J2" s="45"/>
      <c r="K2" s="45"/>
      <c r="L2" s="1040"/>
      <c r="M2" s="46"/>
      <c r="N2" s="46"/>
      <c r="O2" s="46"/>
      <c r="Q2" s="263"/>
      <c r="R2" s="81"/>
      <c r="S2" s="64" t="e">
        <f>INDEX(PT_DIFFERENTIATION_NUM_NTAR,MATCH(A2,PT_DIFFERENTIATION_NTAR_ID,0))</f>
        <v>#N/A</v>
      </c>
      <c r="T2" s="82" t="s">
        <v>125</v>
      </c>
      <c r="U2" s="83"/>
      <c r="V2" s="1047"/>
      <c r="W2" s="1047"/>
      <c r="X2" s="1047"/>
      <c r="Y2" s="1047"/>
      <c r="Z2" s="1047"/>
      <c r="AA2" s="1047"/>
      <c r="AB2" s="1047"/>
      <c r="AC2" s="1075"/>
      <c r="AD2" s="1076" t="e">
        <f>INDEX(PT_DIFFERENTIATION_NTAR,MATCH(A2,PT_DIFFERENTIATION_NTAR_ID,0))</f>
        <v>#N/A</v>
      </c>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75"/>
      <c r="BC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50"/>
      <c r="BF2" s="150" t="str">
        <f t="shared" ref="BF2:BF8" si="0">IF(T2="","",T2)</f>
        <v>Наименование тарифа</v>
      </c>
      <c r="BG2" s="150"/>
      <c r="BH2" s="150"/>
      <c r="BI2" s="42">
        <v>0</v>
      </c>
    </row>
    <row r="3" ht="21" hidden="1" customHeight="1" spans="1:61">
      <c r="A3" s="45"/>
      <c r="B3" s="45"/>
      <c r="C3" s="45"/>
      <c r="D3" s="45"/>
      <c r="E3" s="1039"/>
      <c r="F3" s="1038">
        <v>1</v>
      </c>
      <c r="G3" s="45"/>
      <c r="H3" s="45"/>
      <c r="I3" s="45"/>
      <c r="J3" s="45"/>
      <c r="K3" s="45"/>
      <c r="L3" s="1040"/>
      <c r="M3" s="46"/>
      <c r="N3" s="46"/>
      <c r="O3" s="46"/>
      <c r="P3" s="47"/>
      <c r="Q3" s="1048"/>
      <c r="R3" s="87"/>
      <c r="S3" s="64" t="e">
        <f>INDEX(PT_DIFFERENTIATION_NUM_TER,MATCH(B3,PT_DIFFERENTIATION_TER_ID,0))</f>
        <v>#N/A</v>
      </c>
      <c r="T3" s="88" t="s">
        <v>402</v>
      </c>
      <c r="U3" s="83"/>
      <c r="V3" s="1047"/>
      <c r="W3" s="1047"/>
      <c r="X3" s="1047"/>
      <c r="Y3" s="1047"/>
      <c r="Z3" s="1047"/>
      <c r="AA3" s="1047"/>
      <c r="AB3" s="1047"/>
      <c r="AC3" s="1075"/>
      <c r="AD3" s="1076" t="e">
        <f>INDEX(PT_DIFFERENTIATION_TER,MATCH(B3,PT_DIFFERENTIATION_TER_ID,0))</f>
        <v>#N/A</v>
      </c>
      <c r="AE3" s="1047"/>
      <c r="AF3" s="1047"/>
      <c r="AG3" s="1047"/>
      <c r="AH3" s="1047"/>
      <c r="AI3" s="1047"/>
      <c r="AJ3" s="1047"/>
      <c r="AK3" s="1047"/>
      <c r="AL3" s="1047"/>
      <c r="AM3" s="1047"/>
      <c r="AN3" s="1047"/>
      <c r="AO3" s="1047"/>
      <c r="AP3" s="1047"/>
      <c r="AQ3" s="1047"/>
      <c r="AR3" s="1047"/>
      <c r="AS3" s="1047"/>
      <c r="AT3" s="1047"/>
      <c r="AU3" s="1047"/>
      <c r="AV3" s="1047"/>
      <c r="AW3" s="1047"/>
      <c r="AX3" s="1047"/>
      <c r="AY3" s="1047"/>
      <c r="AZ3" s="1047"/>
      <c r="BA3" s="1047"/>
      <c r="BB3" s="1075"/>
      <c r="BC3" s="135" t="s">
        <v>403</v>
      </c>
      <c r="BE3" s="150"/>
      <c r="BF3" s="150" t="str">
        <f t="shared" si="0"/>
        <v>Территория действия тарифа</v>
      </c>
      <c r="BG3" s="150"/>
      <c r="BH3" s="150"/>
      <c r="BI3" s="42">
        <v>0</v>
      </c>
    </row>
    <row r="4" ht="42" hidden="1" customHeight="1" spans="1:61">
      <c r="A4" s="45"/>
      <c r="B4" s="45"/>
      <c r="C4" s="45"/>
      <c r="D4" s="45"/>
      <c r="E4" s="1039"/>
      <c r="F4" s="1039"/>
      <c r="G4" s="1038">
        <v>1</v>
      </c>
      <c r="H4" s="45"/>
      <c r="I4" s="45"/>
      <c r="J4" s="45"/>
      <c r="K4" s="45"/>
      <c r="L4" s="1040"/>
      <c r="M4" s="46"/>
      <c r="N4" s="46"/>
      <c r="O4" s="46"/>
      <c r="P4" s="1041"/>
      <c r="Q4" s="1048"/>
      <c r="R4" s="87"/>
      <c r="S4" s="64" t="e">
        <f>INDEX(PT_DIFFERENTIATION_NUM_CS,MATCH(C4,PT_DIFFERENTIATION_CS_ID,0))</f>
        <v>#N/A</v>
      </c>
      <c r="T4" s="90" t="s">
        <v>483</v>
      </c>
      <c r="U4" s="83"/>
      <c r="V4" s="1047"/>
      <c r="W4" s="1047"/>
      <c r="X4" s="1047"/>
      <c r="Y4" s="1047"/>
      <c r="Z4" s="1047"/>
      <c r="AA4" s="1047"/>
      <c r="AB4" s="1047"/>
      <c r="AC4" s="1075"/>
      <c r="AD4" s="1076" t="e">
        <f>INDEX(PT_DIFFERENTIATION_CS,MATCH(C4,PT_DIFFERENTIATION_CS_ID,0))</f>
        <v>#N/A</v>
      </c>
      <c r="AE4" s="1047"/>
      <c r="AF4" s="1047"/>
      <c r="AG4" s="1047"/>
      <c r="AH4" s="1047"/>
      <c r="AI4" s="1047"/>
      <c r="AJ4" s="1047"/>
      <c r="AK4" s="1047"/>
      <c r="AL4" s="1047"/>
      <c r="AM4" s="1047"/>
      <c r="AN4" s="1047"/>
      <c r="AO4" s="1047"/>
      <c r="AP4" s="1047"/>
      <c r="AQ4" s="1047"/>
      <c r="AR4" s="1047"/>
      <c r="AS4" s="1047"/>
      <c r="AT4" s="1047"/>
      <c r="AU4" s="1047"/>
      <c r="AV4" s="1047"/>
      <c r="AW4" s="1047"/>
      <c r="AX4" s="1047"/>
      <c r="AY4" s="1047"/>
      <c r="AZ4" s="1047"/>
      <c r="BA4" s="1047"/>
      <c r="BB4" s="1075"/>
      <c r="BC4" s="135" t="s">
        <v>484</v>
      </c>
      <c r="BE4" s="150"/>
      <c r="BF4" s="150" t="str">
        <f t="shared" si="0"/>
        <v>Наименование централизованной системы холодного водоснабжения</v>
      </c>
      <c r="BG4" s="150"/>
      <c r="BH4" s="150"/>
      <c r="BI4" s="42">
        <v>0</v>
      </c>
    </row>
    <row r="5" s="43" customFormat="1" hidden="1" customHeight="1" spans="1:61">
      <c r="A5" s="587"/>
      <c r="B5" s="587"/>
      <c r="C5" s="587"/>
      <c r="D5" s="587"/>
      <c r="E5" s="1039"/>
      <c r="F5" s="1039"/>
      <c r="G5" s="1039"/>
      <c r="H5" s="1038">
        <v>1</v>
      </c>
      <c r="I5" s="587"/>
      <c r="J5" s="587"/>
      <c r="K5" s="587"/>
      <c r="L5" s="608"/>
      <c r="M5" s="282"/>
      <c r="N5" s="282"/>
      <c r="O5" s="282"/>
      <c r="P5" s="1042"/>
      <c r="Q5" s="1049"/>
      <c r="R5" s="96"/>
      <c r="S5" s="329"/>
      <c r="T5" s="1050"/>
      <c r="U5" s="1051"/>
      <c r="V5" s="1052"/>
      <c r="W5" s="1052"/>
      <c r="X5" s="1052"/>
      <c r="Y5" s="1052"/>
      <c r="Z5" s="1052"/>
      <c r="AA5" s="1052"/>
      <c r="AB5" s="1052"/>
      <c r="AC5" s="1077"/>
      <c r="AD5" s="1078"/>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2"/>
      <c r="BB5" s="1077"/>
      <c r="BC5" s="981" t="s">
        <v>407</v>
      </c>
      <c r="BE5" s="150"/>
      <c r="BF5" s="150" t="str">
        <f t="shared" si="0"/>
        <v/>
      </c>
      <c r="BG5" s="150"/>
      <c r="BH5" s="150"/>
      <c r="BI5" s="43">
        <v>0</v>
      </c>
    </row>
    <row r="6" s="43" customFormat="1" hidden="1" customHeight="1" spans="1:61">
      <c r="A6" s="587"/>
      <c r="B6" s="587"/>
      <c r="C6" s="587"/>
      <c r="D6" s="587"/>
      <c r="E6" s="1039"/>
      <c r="F6" s="1039"/>
      <c r="G6" s="1039"/>
      <c r="H6" s="1039"/>
      <c r="I6" s="228" t="str">
        <f>S5&amp;".1"</f>
        <v>.1</v>
      </c>
      <c r="J6" s="587"/>
      <c r="K6" s="587"/>
      <c r="L6" s="608" t="s">
        <v>408</v>
      </c>
      <c r="M6" s="1043"/>
      <c r="N6" s="1043"/>
      <c r="O6" s="1043"/>
      <c r="P6" s="92">
        <v>1</v>
      </c>
      <c r="Q6" s="92"/>
      <c r="R6" s="93"/>
      <c r="S6" s="329"/>
      <c r="T6" s="1053"/>
      <c r="U6" s="1051"/>
      <c r="V6" s="1052"/>
      <c r="W6" s="1052"/>
      <c r="X6" s="1052"/>
      <c r="Y6" s="1052"/>
      <c r="Z6" s="1052"/>
      <c r="AA6" s="1052"/>
      <c r="AB6" s="1052"/>
      <c r="AC6" s="1077"/>
      <c r="AD6" s="1078"/>
      <c r="AE6" s="1052"/>
      <c r="AF6" s="1052"/>
      <c r="AG6" s="1052"/>
      <c r="AH6" s="1052"/>
      <c r="AI6" s="1052"/>
      <c r="AJ6" s="1052"/>
      <c r="AK6" s="1052"/>
      <c r="AL6" s="1052"/>
      <c r="AM6" s="1052"/>
      <c r="AN6" s="1052"/>
      <c r="AO6" s="1052"/>
      <c r="AP6" s="1052"/>
      <c r="AQ6" s="1052"/>
      <c r="AR6" s="1052"/>
      <c r="AS6" s="1052"/>
      <c r="AT6" s="1052"/>
      <c r="AU6" s="1052"/>
      <c r="AV6" s="1052"/>
      <c r="AW6" s="1052"/>
      <c r="AX6" s="1052"/>
      <c r="AY6" s="1052"/>
      <c r="AZ6" s="1052"/>
      <c r="BA6" s="1052"/>
      <c r="BB6" s="1077"/>
      <c r="BC6" s="981"/>
      <c r="BE6" s="150"/>
      <c r="BF6" s="150" t="str">
        <f t="shared" si="0"/>
        <v/>
      </c>
      <c r="BG6" s="150"/>
      <c r="BH6" s="150"/>
      <c r="BI6" s="43">
        <v>0</v>
      </c>
    </row>
    <row r="7" s="43" customFormat="1" hidden="1" customHeight="1" spans="1:61">
      <c r="A7" s="587"/>
      <c r="B7" s="587"/>
      <c r="C7" s="587"/>
      <c r="D7" s="587"/>
      <c r="E7" s="1039"/>
      <c r="F7" s="1039"/>
      <c r="G7" s="1039"/>
      <c r="H7" s="1039"/>
      <c r="I7" s="1044"/>
      <c r="J7" s="228" t="str">
        <f>S5&amp;".1"</f>
        <v>.1</v>
      </c>
      <c r="K7" s="587"/>
      <c r="L7" s="608"/>
      <c r="M7" s="1043"/>
      <c r="N7" s="1043"/>
      <c r="O7" s="1043"/>
      <c r="P7" s="92"/>
      <c r="Q7" s="92">
        <v>1</v>
      </c>
      <c r="R7" s="96"/>
      <c r="S7" s="329"/>
      <c r="T7" s="1054"/>
      <c r="U7" s="1051"/>
      <c r="V7" s="1052"/>
      <c r="W7" s="1052"/>
      <c r="X7" s="1052"/>
      <c r="Y7" s="1052"/>
      <c r="Z7" s="1052"/>
      <c r="AA7" s="1052"/>
      <c r="AB7" s="1052"/>
      <c r="AC7" s="1077"/>
      <c r="AD7" s="1078"/>
      <c r="AE7" s="1052"/>
      <c r="AF7" s="1052"/>
      <c r="AG7" s="1052"/>
      <c r="AH7" s="1052"/>
      <c r="AI7" s="1052"/>
      <c r="AJ7" s="1052"/>
      <c r="AK7" s="1052"/>
      <c r="AL7" s="1052"/>
      <c r="AM7" s="1052"/>
      <c r="AN7" s="1052"/>
      <c r="AO7" s="1052"/>
      <c r="AP7" s="1052"/>
      <c r="AQ7" s="1052"/>
      <c r="AR7" s="1052"/>
      <c r="AS7" s="1052"/>
      <c r="AT7" s="1052"/>
      <c r="AU7" s="1052"/>
      <c r="AV7" s="1052"/>
      <c r="AW7" s="1052"/>
      <c r="AX7" s="1052"/>
      <c r="AY7" s="1052"/>
      <c r="AZ7" s="1052"/>
      <c r="BA7" s="1052"/>
      <c r="BB7" s="1077"/>
      <c r="BC7" s="981"/>
      <c r="BE7" s="150"/>
      <c r="BF7" s="150" t="str">
        <f t="shared" si="0"/>
        <v/>
      </c>
      <c r="BG7" s="150"/>
      <c r="BH7" s="150"/>
      <c r="BI7" s="43">
        <v>0</v>
      </c>
    </row>
    <row r="8" ht="11.25" hidden="1" customHeight="1" spans="1:61">
      <c r="A8" s="45"/>
      <c r="B8" s="45"/>
      <c r="C8" s="45"/>
      <c r="D8" s="45"/>
      <c r="E8" s="1039"/>
      <c r="F8" s="1039"/>
      <c r="G8" s="1039"/>
      <c r="H8" s="1039"/>
      <c r="I8" s="1044"/>
      <c r="J8" s="1044"/>
      <c r="K8" s="228" t="e">
        <f>S4&amp;".1"</f>
        <v>#N/A</v>
      </c>
      <c r="L8" s="1040"/>
      <c r="P8" s="92"/>
      <c r="Q8" s="92"/>
      <c r="R8" s="1055">
        <v>1</v>
      </c>
      <c r="S8" s="1056" t="e">
        <f>$K8</f>
        <v>#N/A</v>
      </c>
      <c r="T8" s="1057"/>
      <c r="U8" s="83"/>
      <c r="V8" s="101"/>
      <c r="W8" s="137"/>
      <c r="X8" s="101"/>
      <c r="Y8" s="137"/>
      <c r="Z8" s="138"/>
      <c r="AA8" s="139" t="s">
        <v>62</v>
      </c>
      <c r="AB8" s="138"/>
      <c r="AC8" s="139" t="s">
        <v>62</v>
      </c>
      <c r="AD8" s="472" t="s">
        <v>62</v>
      </c>
      <c r="AE8" s="1079"/>
      <c r="AF8" s="661">
        <v>1</v>
      </c>
      <c r="AG8" s="1092"/>
      <c r="AH8" s="139" t="s">
        <v>62</v>
      </c>
      <c r="AI8" s="1079"/>
      <c r="AJ8" s="661">
        <v>1</v>
      </c>
      <c r="AK8" s="1093" t="s">
        <v>28</v>
      </c>
      <c r="AL8" s="139" t="s">
        <v>62</v>
      </c>
      <c r="AM8" s="892"/>
      <c r="AN8" s="661">
        <v>1</v>
      </c>
      <c r="AO8" s="1101"/>
      <c r="AP8" s="1102" t="s">
        <v>62</v>
      </c>
      <c r="AQ8" s="1103"/>
      <c r="AR8" s="661">
        <v>1</v>
      </c>
      <c r="AS8" s="446" t="s">
        <v>28</v>
      </c>
      <c r="AT8" s="101"/>
      <c r="AU8" s="137"/>
      <c r="AV8" s="101"/>
      <c r="AW8" s="137"/>
      <c r="AX8" s="138"/>
      <c r="AY8" s="139" t="s">
        <v>62</v>
      </c>
      <c r="AZ8" s="138"/>
      <c r="BA8" s="139" t="s">
        <v>62</v>
      </c>
      <c r="BB8" s="1106"/>
      <c r="BC8" s="140" t="s">
        <v>503</v>
      </c>
      <c r="BE8" s="150"/>
      <c r="BF8" s="150" t="str">
        <f t="shared" si="0"/>
        <v/>
      </c>
      <c r="BG8" s="150"/>
      <c r="BH8" s="150"/>
      <c r="BI8" s="42">
        <v>0</v>
      </c>
    </row>
    <row r="9" ht="11.25" hidden="1" customHeight="1" spans="1:61">
      <c r="A9" s="45"/>
      <c r="B9" s="45"/>
      <c r="C9" s="45"/>
      <c r="D9" s="45"/>
      <c r="E9" s="1039"/>
      <c r="F9" s="1039"/>
      <c r="G9" s="1039"/>
      <c r="H9" s="1039"/>
      <c r="I9" s="1044"/>
      <c r="J9" s="1044"/>
      <c r="K9" s="228"/>
      <c r="L9" s="1040"/>
      <c r="P9" s="92"/>
      <c r="Q9" s="92"/>
      <c r="R9" s="1055"/>
      <c r="S9" s="1058"/>
      <c r="T9" s="1059"/>
      <c r="U9" s="83"/>
      <c r="V9" s="1060"/>
      <c r="W9" s="1061"/>
      <c r="X9" s="1060"/>
      <c r="Y9" s="1061"/>
      <c r="Z9" s="1060"/>
      <c r="AA9" s="1060"/>
      <c r="AB9" s="1060"/>
      <c r="AC9" s="1060"/>
      <c r="AD9" s="474"/>
      <c r="AE9" s="1079"/>
      <c r="AF9" s="661"/>
      <c r="AG9" s="1092"/>
      <c r="AH9" s="139"/>
      <c r="AI9" s="1079"/>
      <c r="AJ9" s="661"/>
      <c r="AK9" s="1093"/>
      <c r="AL9" s="139"/>
      <c r="AM9" s="896"/>
      <c r="AN9" s="661"/>
      <c r="AO9" s="1101"/>
      <c r="AP9" s="1104"/>
      <c r="AQ9" s="330"/>
      <c r="AR9" s="331"/>
      <c r="AS9" s="331" t="s">
        <v>504</v>
      </c>
      <c r="AT9" s="1060"/>
      <c r="AU9" s="1061"/>
      <c r="AV9" s="1060"/>
      <c r="AW9" s="1061"/>
      <c r="AX9" s="1060"/>
      <c r="AY9" s="1060"/>
      <c r="AZ9" s="1060"/>
      <c r="BA9" s="1060"/>
      <c r="BB9" s="1107"/>
      <c r="BC9" s="143"/>
      <c r="BE9" s="150"/>
      <c r="BF9" s="150"/>
      <c r="BG9" s="150"/>
      <c r="BH9" s="150"/>
      <c r="BI9" s="42">
        <v>0</v>
      </c>
    </row>
    <row r="10" ht="11.25" hidden="1" customHeight="1" spans="1:61">
      <c r="A10" s="45"/>
      <c r="B10" s="45"/>
      <c r="C10" s="45"/>
      <c r="D10" s="45"/>
      <c r="E10" s="1039"/>
      <c r="F10" s="1039"/>
      <c r="G10" s="1039"/>
      <c r="H10" s="1039"/>
      <c r="I10" s="1044"/>
      <c r="J10" s="1044"/>
      <c r="K10" s="228"/>
      <c r="L10" s="1040"/>
      <c r="P10" s="92"/>
      <c r="Q10" s="92"/>
      <c r="R10" s="1055"/>
      <c r="S10" s="1058"/>
      <c r="T10" s="1059"/>
      <c r="U10" s="83"/>
      <c r="V10" s="1060"/>
      <c r="W10" s="1061"/>
      <c r="X10" s="1060"/>
      <c r="Y10" s="1061"/>
      <c r="Z10" s="1060"/>
      <c r="AA10" s="1060"/>
      <c r="AB10" s="1060"/>
      <c r="AC10" s="1060"/>
      <c r="AD10" s="474"/>
      <c r="AE10" s="1079"/>
      <c r="AF10" s="661"/>
      <c r="AG10" s="1092"/>
      <c r="AH10" s="139"/>
      <c r="AI10" s="1079"/>
      <c r="AJ10" s="661"/>
      <c r="AK10" s="1093"/>
      <c r="AL10" s="139"/>
      <c r="AM10" s="330"/>
      <c r="AN10" s="598"/>
      <c r="AO10" s="598" t="s">
        <v>505</v>
      </c>
      <c r="AP10" s="331"/>
      <c r="AQ10" s="331"/>
      <c r="AR10" s="331"/>
      <c r="AS10" s="1060"/>
      <c r="AT10" s="1060"/>
      <c r="AU10" s="1061"/>
      <c r="AV10" s="1060"/>
      <c r="AW10" s="1061"/>
      <c r="AX10" s="1060"/>
      <c r="AY10" s="1060"/>
      <c r="AZ10" s="1060"/>
      <c r="BA10" s="1060"/>
      <c r="BB10" s="1107"/>
      <c r="BC10" s="143"/>
      <c r="BE10" s="150"/>
      <c r="BF10" s="150"/>
      <c r="BG10" s="150"/>
      <c r="BH10" s="150"/>
      <c r="BI10" s="42">
        <v>0</v>
      </c>
    </row>
    <row r="11" ht="11.25" hidden="1" customHeight="1" spans="1:61">
      <c r="A11" s="45"/>
      <c r="B11" s="45"/>
      <c r="C11" s="45"/>
      <c r="D11" s="45"/>
      <c r="E11" s="1039"/>
      <c r="F11" s="1039"/>
      <c r="G11" s="1039"/>
      <c r="H11" s="1039"/>
      <c r="I11" s="1044"/>
      <c r="J11" s="1044"/>
      <c r="K11" s="228"/>
      <c r="L11" s="1040"/>
      <c r="P11" s="92"/>
      <c r="Q11" s="92"/>
      <c r="R11" s="1055"/>
      <c r="S11" s="1058"/>
      <c r="T11" s="1059"/>
      <c r="U11" s="83"/>
      <c r="V11" s="1060"/>
      <c r="W11" s="1061"/>
      <c r="X11" s="1060"/>
      <c r="Y11" s="1061"/>
      <c r="Z11" s="1060"/>
      <c r="AA11" s="1060"/>
      <c r="AB11" s="1060"/>
      <c r="AC11" s="1060"/>
      <c r="AD11" s="474"/>
      <c r="AE11" s="1079"/>
      <c r="AF11" s="661"/>
      <c r="AG11" s="1092"/>
      <c r="AH11" s="139"/>
      <c r="AI11" s="900"/>
      <c r="AJ11" s="226"/>
      <c r="AK11" s="1094" t="s">
        <v>506</v>
      </c>
      <c r="AL11" s="1060"/>
      <c r="AM11" s="1060"/>
      <c r="AN11" s="1060"/>
      <c r="AO11" s="1060"/>
      <c r="AP11" s="1060"/>
      <c r="AQ11" s="1060"/>
      <c r="AR11" s="1060"/>
      <c r="AS11" s="1060"/>
      <c r="AT11" s="1060"/>
      <c r="AU11" s="1061"/>
      <c r="AV11" s="1060"/>
      <c r="AW11" s="1061"/>
      <c r="AX11" s="1060"/>
      <c r="AY11" s="1060"/>
      <c r="AZ11" s="1060"/>
      <c r="BA11" s="1060"/>
      <c r="BB11" s="1107"/>
      <c r="BC11" s="143"/>
      <c r="BE11" s="150"/>
      <c r="BF11" s="150"/>
      <c r="BG11" s="150"/>
      <c r="BH11" s="150"/>
      <c r="BI11" s="42">
        <v>0</v>
      </c>
    </row>
    <row r="12" ht="11.25" hidden="1" customHeight="1" spans="1:61">
      <c r="A12" s="45"/>
      <c r="B12" s="45"/>
      <c r="C12" s="45"/>
      <c r="D12" s="45"/>
      <c r="E12" s="1039"/>
      <c r="F12" s="1039"/>
      <c r="G12" s="1039"/>
      <c r="H12" s="1039"/>
      <c r="I12" s="1044"/>
      <c r="J12" s="1044"/>
      <c r="K12" s="228"/>
      <c r="L12" s="1040"/>
      <c r="P12" s="92"/>
      <c r="Q12" s="92"/>
      <c r="R12" s="1055"/>
      <c r="S12" s="1062"/>
      <c r="T12" s="1063"/>
      <c r="U12" s="83"/>
      <c r="V12" s="1060"/>
      <c r="W12" s="1064" t="str">
        <f>Z8&amp;"-"&amp;AB8</f>
        <v>-</v>
      </c>
      <c r="X12" s="1060"/>
      <c r="Y12" s="1064" t="str">
        <f>AB8&amp;"-"&amp;AD8</f>
        <v>-да</v>
      </c>
      <c r="Z12" s="1060"/>
      <c r="AA12" s="1060"/>
      <c r="AB12" s="1060"/>
      <c r="AC12" s="1060"/>
      <c r="AD12" s="477"/>
      <c r="AE12" s="1080"/>
      <c r="AF12" s="1081"/>
      <c r="AG12" s="331" t="s">
        <v>507</v>
      </c>
      <c r="AH12" s="1060"/>
      <c r="AI12" s="1060"/>
      <c r="AJ12" s="1060"/>
      <c r="AK12" s="1060"/>
      <c r="AL12" s="1060"/>
      <c r="AM12" s="1060"/>
      <c r="AN12" s="1060"/>
      <c r="AO12" s="1060"/>
      <c r="AP12" s="1060"/>
      <c r="AQ12" s="1060"/>
      <c r="AR12" s="1060"/>
      <c r="AS12" s="1060"/>
      <c r="AT12" s="1060"/>
      <c r="AU12" s="1064" t="str">
        <f>AX8&amp;"-"&amp;AZ8</f>
        <v>-</v>
      </c>
      <c r="AV12" s="1060"/>
      <c r="AW12" s="1064" t="str">
        <f>AZ8&amp;"-"&amp;BB8</f>
        <v>-</v>
      </c>
      <c r="AX12" s="1060"/>
      <c r="AY12" s="1060"/>
      <c r="AZ12" s="1060"/>
      <c r="BA12" s="1060"/>
      <c r="BB12" s="1108" t="str">
        <f>BE8&amp;"-"&amp;BG8</f>
        <v>-</v>
      </c>
      <c r="BC12" s="143"/>
      <c r="BE12" s="150"/>
      <c r="BF12" s="150" t="str">
        <f t="shared" ref="BF12:BF18" si="1">IF(T12="","",T12)</f>
        <v/>
      </c>
      <c r="BG12" s="150"/>
      <c r="BH12" s="150"/>
      <c r="BI12" s="42">
        <v>0</v>
      </c>
    </row>
    <row r="13" ht="11.25" hidden="1" customHeight="1" spans="1:61">
      <c r="A13" s="45"/>
      <c r="B13" s="45"/>
      <c r="C13" s="45"/>
      <c r="D13" s="45"/>
      <c r="E13" s="1039"/>
      <c r="F13" s="1039"/>
      <c r="G13" s="1039"/>
      <c r="H13" s="1039"/>
      <c r="I13" s="1044"/>
      <c r="J13" s="228"/>
      <c r="K13" s="45"/>
      <c r="L13" s="1040"/>
      <c r="P13" s="92"/>
      <c r="Q13" s="92"/>
      <c r="R13" s="93"/>
      <c r="S13" s="104"/>
      <c r="T13" s="107" t="s">
        <v>470</v>
      </c>
      <c r="U13" s="106"/>
      <c r="V13" s="106"/>
      <c r="W13" s="106"/>
      <c r="X13" s="106"/>
      <c r="Y13" s="106"/>
      <c r="Z13" s="106"/>
      <c r="AA13" s="106"/>
      <c r="AB13" s="106"/>
      <c r="AC13" s="106"/>
      <c r="AD13" s="1082"/>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44"/>
      <c r="BC13" s="145"/>
      <c r="BE13" s="150"/>
      <c r="BF13" s="150" t="str">
        <f t="shared" si="1"/>
        <v>Добавить строку</v>
      </c>
      <c r="BG13" s="150"/>
      <c r="BH13" s="150"/>
      <c r="BI13" s="42">
        <v>0</v>
      </c>
    </row>
    <row r="14" s="43" customFormat="1" hidden="1" customHeight="1" spans="1:61">
      <c r="A14" s="587"/>
      <c r="B14" s="587"/>
      <c r="C14" s="587"/>
      <c r="D14" s="587"/>
      <c r="E14" s="1039"/>
      <c r="F14" s="1039"/>
      <c r="G14" s="1039"/>
      <c r="H14" s="1039"/>
      <c r="I14" s="228"/>
      <c r="J14" s="587"/>
      <c r="K14" s="587"/>
      <c r="L14" s="608"/>
      <c r="M14" s="1043"/>
      <c r="N14" s="1043"/>
      <c r="O14" s="1043"/>
      <c r="P14" s="92"/>
      <c r="Q14" s="92"/>
      <c r="R14" s="93"/>
      <c r="S14" s="1065"/>
      <c r="T14" s="1066"/>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109"/>
      <c r="BE14" s="150"/>
      <c r="BF14" s="150" t="str">
        <f t="shared" si="1"/>
        <v/>
      </c>
      <c r="BG14" s="150"/>
      <c r="BH14" s="150"/>
      <c r="BI14" s="43">
        <v>0</v>
      </c>
    </row>
    <row r="15" s="43" customFormat="1" hidden="1" customHeight="1" spans="1:61">
      <c r="A15" s="587"/>
      <c r="B15" s="587"/>
      <c r="C15" s="587"/>
      <c r="D15" s="587"/>
      <c r="E15" s="1039"/>
      <c r="F15" s="1039"/>
      <c r="G15" s="1039"/>
      <c r="H15" s="1038"/>
      <c r="I15" s="587"/>
      <c r="J15" s="587"/>
      <c r="K15" s="587"/>
      <c r="L15" s="608"/>
      <c r="M15" s="282"/>
      <c r="N15" s="282"/>
      <c r="P15" s="151"/>
      <c r="Q15" s="1068"/>
      <c r="R15" s="1069"/>
      <c r="S15" s="1065"/>
      <c r="T15" s="1066"/>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c r="AT15" s="1067"/>
      <c r="AU15" s="1067"/>
      <c r="AV15" s="1067"/>
      <c r="AW15" s="1067"/>
      <c r="AX15" s="1067"/>
      <c r="AY15" s="1067"/>
      <c r="AZ15" s="1067"/>
      <c r="BA15" s="1067"/>
      <c r="BB15" s="1067"/>
      <c r="BC15" s="1109"/>
      <c r="BE15" s="150"/>
      <c r="BF15" s="150" t="str">
        <f t="shared" si="1"/>
        <v/>
      </c>
      <c r="BG15" s="150"/>
      <c r="BH15" s="150"/>
      <c r="BI15" s="43">
        <v>0</v>
      </c>
    </row>
    <row r="16" s="43" customFormat="1" hidden="1" customHeight="1" spans="1:61">
      <c r="A16" s="587"/>
      <c r="B16" s="587"/>
      <c r="C16" s="587"/>
      <c r="D16" s="587"/>
      <c r="E16" s="1039"/>
      <c r="F16" s="1039"/>
      <c r="G16" s="1038"/>
      <c r="H16" s="587"/>
      <c r="I16" s="587"/>
      <c r="J16" s="587"/>
      <c r="K16" s="587"/>
      <c r="L16" s="608"/>
      <c r="M16" s="282"/>
      <c r="N16" s="282"/>
      <c r="P16" s="151"/>
      <c r="Q16" s="1068"/>
      <c r="R16" s="151"/>
      <c r="S16" s="1070"/>
      <c r="T16" s="1071"/>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E16" s="150"/>
      <c r="BF16" s="150" t="str">
        <f t="shared" si="1"/>
        <v/>
      </c>
      <c r="BG16" s="150"/>
      <c r="BH16" s="150"/>
      <c r="BI16" s="43">
        <v>0</v>
      </c>
    </row>
    <row r="17" s="43" customFormat="1" hidden="1" customHeight="1" spans="1:61">
      <c r="A17" s="587"/>
      <c r="B17" s="587"/>
      <c r="C17" s="587"/>
      <c r="D17" s="587"/>
      <c r="E17" s="1039"/>
      <c r="F17" s="1038"/>
      <c r="G17" s="587"/>
      <c r="H17" s="587"/>
      <c r="I17" s="587"/>
      <c r="J17" s="587"/>
      <c r="K17" s="587"/>
      <c r="L17" s="608"/>
      <c r="M17" s="1045"/>
      <c r="N17" s="1045"/>
      <c r="P17" s="151"/>
      <c r="Q17" s="1068"/>
      <c r="R17" s="151"/>
      <c r="S17" s="1070"/>
      <c r="T17" s="1071" t="s">
        <v>251</v>
      </c>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c r="BA17" s="306"/>
      <c r="BB17" s="306"/>
      <c r="BC17" s="306"/>
      <c r="BE17" s="150"/>
      <c r="BF17" s="150" t="str">
        <f t="shared" si="1"/>
        <v>Добавить централизованную систему для дифференциации</v>
      </c>
      <c r="BG17" s="150"/>
      <c r="BH17" s="150"/>
      <c r="BI17" s="43">
        <v>0</v>
      </c>
    </row>
    <row r="18" s="43" customFormat="1" hidden="1" customHeight="1" spans="1:61">
      <c r="A18" s="587"/>
      <c r="B18" s="587"/>
      <c r="C18" s="587"/>
      <c r="D18" s="587"/>
      <c r="E18" s="1038"/>
      <c r="F18" s="587"/>
      <c r="G18" s="587"/>
      <c r="H18" s="587"/>
      <c r="I18" s="587"/>
      <c r="J18" s="587"/>
      <c r="K18" s="587"/>
      <c r="L18" s="608"/>
      <c r="M18" s="1045"/>
      <c r="N18" s="1045"/>
      <c r="P18" s="151"/>
      <c r="Q18" s="1068"/>
      <c r="R18" s="151"/>
      <c r="S18" s="1070"/>
      <c r="T18" s="1071" t="s">
        <v>252</v>
      </c>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E18" s="150"/>
      <c r="BF18" s="150" t="str">
        <f t="shared" si="1"/>
        <v>Добавить территорию для дифференциации</v>
      </c>
      <c r="BG18" s="150"/>
      <c r="BH18" s="150"/>
      <c r="BI18" s="43">
        <v>0</v>
      </c>
    </row>
    <row r="19" hidden="1" customHeight="1" spans="61:61">
      <c r="BI19" s="42">
        <v>0</v>
      </c>
    </row>
    <row r="20" hidden="1" customHeight="1" spans="30:61">
      <c r="AD20" s="306" t="s">
        <v>19</v>
      </c>
      <c r="AE20" s="1083"/>
      <c r="AF20" s="306">
        <v>1</v>
      </c>
      <c r="AG20" s="1095"/>
      <c r="AH20" s="306" t="s">
        <v>19</v>
      </c>
      <c r="AI20" s="1083"/>
      <c r="AJ20" s="306">
        <v>1</v>
      </c>
      <c r="AK20" s="1095"/>
      <c r="AL20" s="306" t="s">
        <v>19</v>
      </c>
      <c r="AM20" s="1096"/>
      <c r="AN20" s="306">
        <v>1</v>
      </c>
      <c r="AO20" s="627"/>
      <c r="AP20" s="306" t="s">
        <v>19</v>
      </c>
      <c r="AQ20" s="1096"/>
      <c r="AR20" s="306">
        <v>1</v>
      </c>
      <c r="AS20" s="627"/>
      <c r="AT20" s="102"/>
      <c r="AU20" s="1105"/>
      <c r="AV20" s="102"/>
      <c r="AW20" s="1105"/>
      <c r="AX20" s="1110"/>
      <c r="AY20" s="493" t="s">
        <v>62</v>
      </c>
      <c r="AZ20" s="1110"/>
      <c r="BA20" s="493" t="s">
        <v>62</v>
      </c>
      <c r="BI20" s="42">
        <v>0</v>
      </c>
    </row>
    <row r="21" hidden="1" customHeight="1" spans="56:61">
      <c r="BD21" s="36"/>
      <c r="BE21" s="36"/>
      <c r="BF21" s="36"/>
      <c r="BG21" s="36"/>
      <c r="BH21" s="36"/>
      <c r="BI21" s="42">
        <v>0</v>
      </c>
    </row>
    <row r="22" hidden="1" customHeight="1" spans="15:61">
      <c r="O22" s="1046" t="s">
        <v>420</v>
      </c>
      <c r="Z22" s="1084"/>
      <c r="AB22" s="1084"/>
      <c r="AX22" s="1084"/>
      <c r="AZ22" s="1084"/>
      <c r="BD22" s="36"/>
      <c r="BE22" s="36"/>
      <c r="BF22" s="36"/>
      <c r="BG22" s="36"/>
      <c r="BH22" s="36"/>
      <c r="BI22" s="42">
        <v>0</v>
      </c>
    </row>
    <row r="23" hidden="1" customHeight="1" spans="56:61">
      <c r="BD23" s="36"/>
      <c r="BE23" s="36"/>
      <c r="BF23" s="36"/>
      <c r="BG23" s="36"/>
      <c r="BH23" s="36"/>
      <c r="BI23" s="42">
        <v>0</v>
      </c>
    </row>
    <row r="24" s="1036" customFormat="1" hidden="1" customHeight="1" spans="13:61">
      <c r="M24" s="48"/>
      <c r="N24" s="48"/>
      <c r="O24" s="1036" t="s">
        <v>421</v>
      </c>
      <c r="P24" s="48"/>
      <c r="Q24" s="1072"/>
      <c r="R24" s="1072"/>
      <c r="AA24" s="1036" t="s">
        <v>423</v>
      </c>
      <c r="AC24" s="1036" t="s">
        <v>424</v>
      </c>
      <c r="AD24" s="1036" t="s">
        <v>471</v>
      </c>
      <c r="AH24" s="1036" t="s">
        <v>471</v>
      </c>
      <c r="AK24" s="1036" t="s">
        <v>508</v>
      </c>
      <c r="AL24" s="1036" t="s">
        <v>471</v>
      </c>
      <c r="AP24" s="1036" t="s">
        <v>471</v>
      </c>
      <c r="AY24" s="1036" t="s">
        <v>423</v>
      </c>
      <c r="BA24" s="1036" t="s">
        <v>424</v>
      </c>
      <c r="BD24" s="1111"/>
      <c r="BE24" s="1111"/>
      <c r="BF24" s="1111"/>
      <c r="BG24" s="1111"/>
      <c r="BH24" s="1111"/>
      <c r="BI24" s="1036">
        <v>0</v>
      </c>
    </row>
    <row r="25" hidden="1" customHeight="1" spans="15:61">
      <c r="O25" s="1040"/>
      <c r="BD25" s="36"/>
      <c r="BE25" s="36"/>
      <c r="BF25" s="36"/>
      <c r="BG25" s="36"/>
      <c r="BH25" s="36"/>
      <c r="BI25" s="42">
        <v>0</v>
      </c>
    </row>
    <row r="26" hidden="1" customHeight="1" spans="15:61">
      <c r="O26" s="1040"/>
      <c r="BD26" s="36"/>
      <c r="BE26" s="36"/>
      <c r="BF26" s="36"/>
      <c r="BG26" s="36"/>
      <c r="BH26" s="36"/>
      <c r="BI26" s="42">
        <v>0</v>
      </c>
    </row>
    <row r="27" ht="14.7" customHeight="1" spans="17:61">
      <c r="Q27" s="1073"/>
      <c r="R27" s="50"/>
      <c r="S27" s="51"/>
      <c r="T27" s="52"/>
      <c r="U27" s="52"/>
      <c r="BI27" s="42">
        <v>14</v>
      </c>
    </row>
    <row r="28" ht="14.7" customHeight="1" spans="17:61">
      <c r="Q28" s="1073"/>
      <c r="R28" s="50"/>
      <c r="S28" s="75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750"/>
      <c r="U28" s="750"/>
      <c r="V28" s="750"/>
      <c r="W28" s="750"/>
      <c r="X28" s="750"/>
      <c r="Y28" s="750"/>
      <c r="Z28" s="750"/>
      <c r="AA28" s="750"/>
      <c r="AB28" s="750"/>
      <c r="AC28" s="750"/>
      <c r="AD28" s="750"/>
      <c r="AE28" s="750"/>
      <c r="AF28" s="750"/>
      <c r="AG28" s="750"/>
      <c r="AH28" s="750"/>
      <c r="AI28" s="750"/>
      <c r="AJ28" s="750"/>
      <c r="AK28" s="750"/>
      <c r="AL28" s="750"/>
      <c r="AM28" s="750"/>
      <c r="AN28" s="750"/>
      <c r="AO28" s="750"/>
      <c r="AP28" s="750"/>
      <c r="AQ28" s="750"/>
      <c r="AR28" s="750"/>
      <c r="AS28" s="750"/>
      <c r="AT28" s="750"/>
      <c r="AU28" s="750"/>
      <c r="AV28" s="750"/>
      <c r="AW28" s="750"/>
      <c r="AX28" s="750"/>
      <c r="AY28" s="750"/>
      <c r="AZ28" s="750"/>
      <c r="BA28" s="120"/>
      <c r="BI28" s="42">
        <v>14</v>
      </c>
    </row>
    <row r="29" ht="14.7" customHeight="1" spans="17:61">
      <c r="Q29" s="1073"/>
      <c r="R29" s="50"/>
      <c r="S29" s="657" t="str">
        <f>IF(org=0,"Не определено",org)</f>
        <v>АО "ОЭЗ ППТ "Алабуга"</v>
      </c>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c r="AR29" s="657"/>
      <c r="AS29" s="657"/>
      <c r="AT29" s="657"/>
      <c r="AU29" s="657"/>
      <c r="AV29" s="657"/>
      <c r="AW29" s="657"/>
      <c r="AX29" s="657"/>
      <c r="AY29" s="657"/>
      <c r="AZ29" s="657"/>
      <c r="BA29" s="120"/>
      <c r="BI29" s="42">
        <v>14</v>
      </c>
    </row>
    <row r="30" customHeight="1" spans="17:61">
      <c r="Q30" s="1073"/>
      <c r="R30" s="50"/>
      <c r="S30" s="51"/>
      <c r="T30" s="52"/>
      <c r="U30" s="52"/>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I30" s="42">
        <v>0</v>
      </c>
    </row>
    <row r="31" s="35" customFormat="1" ht="25.5" customHeight="1" spans="1:61">
      <c r="A31" s="44"/>
      <c r="B31" s="44"/>
      <c r="C31" s="44"/>
      <c r="D31" s="44"/>
      <c r="E31" s="44"/>
      <c r="F31" s="44"/>
      <c r="G31" s="44"/>
      <c r="H31" s="44"/>
      <c r="I31" s="44"/>
      <c r="J31" s="44"/>
      <c r="K31" s="44"/>
      <c r="L31" s="1040"/>
      <c r="M31" s="44"/>
      <c r="N31" s="44"/>
      <c r="O31" s="44"/>
      <c r="P31" s="44"/>
      <c r="Q31" s="44"/>
      <c r="S31" s="57" t="s">
        <v>42</v>
      </c>
      <c r="T31" s="57"/>
      <c r="U31" s="1074"/>
      <c r="V31" s="59" t="str">
        <f>IF(TITLE_NAME_OR_PR_CHANGE="",IF(TITLE_NAME_OR_PR="","",TITLE_NAME_OR_PR),TITLE_NAME_OR_PR_CHANGE)</f>
        <v>Государственный комитет РТ по тарифам</v>
      </c>
      <c r="W31" s="59"/>
      <c r="X31" s="59"/>
      <c r="Y31" s="59"/>
      <c r="Z31" s="59"/>
      <c r="AA31" s="59"/>
      <c r="AB31" s="59"/>
      <c r="AC31" s="42"/>
      <c r="AD31" s="59" t="str">
        <f>IF(TITLE_NAME_OR_PR_CHANGE="",IF(TITLE_NAME_OR_PR="","",TITLE_NAME_OR_PR),TITLE_NAME_OR_PR_CHANGE)</f>
        <v>Государственный комитет РТ по тарифам</v>
      </c>
      <c r="AE31" s="59"/>
      <c r="AF31" s="59"/>
      <c r="AG31" s="59"/>
      <c r="AH31" s="59"/>
      <c r="AI31" s="59"/>
      <c r="AJ31" s="59"/>
      <c r="AK31" s="59"/>
      <c r="AL31" s="59"/>
      <c r="AM31" s="59"/>
      <c r="AN31" s="59"/>
      <c r="AO31" s="59"/>
      <c r="AP31" s="59"/>
      <c r="AQ31" s="59"/>
      <c r="AR31" s="59"/>
      <c r="AS31" s="59"/>
      <c r="AT31" s="59"/>
      <c r="AU31" s="59"/>
      <c r="AV31" s="59"/>
      <c r="AW31" s="59"/>
      <c r="AX31" s="59"/>
      <c r="AY31" s="59"/>
      <c r="AZ31" s="59"/>
      <c r="BA31" s="42"/>
      <c r="BB31" s="42"/>
      <c r="BC31" s="121"/>
      <c r="BD31" s="150"/>
      <c r="BE31" s="150"/>
      <c r="BF31" s="150"/>
      <c r="BG31" s="150"/>
      <c r="BH31" s="150"/>
      <c r="BI31" s="35">
        <v>0</v>
      </c>
    </row>
    <row r="32" s="35" customFormat="1" ht="18.75" customHeight="1" spans="1:61">
      <c r="A32" s="44"/>
      <c r="B32" s="44"/>
      <c r="C32" s="44"/>
      <c r="D32" s="44"/>
      <c r="E32" s="44"/>
      <c r="F32" s="44"/>
      <c r="G32" s="44"/>
      <c r="H32" s="44"/>
      <c r="I32" s="44"/>
      <c r="J32" s="44"/>
      <c r="K32" s="44"/>
      <c r="L32" s="1040"/>
      <c r="M32" s="44"/>
      <c r="N32" s="44"/>
      <c r="O32" s="44"/>
      <c r="P32" s="44"/>
      <c r="Q32" s="44"/>
      <c r="S32" s="57" t="s">
        <v>426</v>
      </c>
      <c r="T32" s="57"/>
      <c r="U32" s="1074"/>
      <c r="V32" s="788">
        <f>IF(TITLE_DATE_PR_CHANGE="",IF(TITLE_DATE_PR="","",TITLE_DATE_PR),TITLE_DATE_PR_CHANGE)</f>
        <v>45525</v>
      </c>
      <c r="W32" s="788"/>
      <c r="X32" s="788"/>
      <c r="Y32" s="788"/>
      <c r="Z32" s="788"/>
      <c r="AA32" s="788"/>
      <c r="AB32" s="788"/>
      <c r="AC32" s="42"/>
      <c r="AD32" s="788">
        <f>IF(TITLE_DATE_PR_CHANGE="",IF(TITLE_DATE_PR="","",TITLE_DATE_PR),TITLE_DATE_PR_CHANGE)</f>
        <v>45525</v>
      </c>
      <c r="AE32" s="788"/>
      <c r="AF32" s="788"/>
      <c r="AG32" s="788"/>
      <c r="AH32" s="788"/>
      <c r="AI32" s="788"/>
      <c r="AJ32" s="788"/>
      <c r="AK32" s="788"/>
      <c r="AL32" s="788"/>
      <c r="AM32" s="788"/>
      <c r="AN32" s="788"/>
      <c r="AO32" s="788"/>
      <c r="AP32" s="788"/>
      <c r="AQ32" s="788"/>
      <c r="AR32" s="788"/>
      <c r="AS32" s="788"/>
      <c r="AT32" s="788"/>
      <c r="AU32" s="788"/>
      <c r="AV32" s="788"/>
      <c r="AW32" s="788"/>
      <c r="AX32" s="788"/>
      <c r="AY32" s="788"/>
      <c r="AZ32" s="788"/>
      <c r="BA32" s="42"/>
      <c r="BB32" s="42"/>
      <c r="BC32" s="121"/>
      <c r="BD32" s="150"/>
      <c r="BE32" s="150"/>
      <c r="BF32" s="150"/>
      <c r="BG32" s="150"/>
      <c r="BH32" s="150"/>
      <c r="BI32" s="35">
        <v>0</v>
      </c>
    </row>
    <row r="33" s="35" customFormat="1" ht="18.75" customHeight="1" spans="1:61">
      <c r="A33" s="44"/>
      <c r="B33" s="44"/>
      <c r="C33" s="44"/>
      <c r="D33" s="44"/>
      <c r="E33" s="44"/>
      <c r="F33" s="44"/>
      <c r="G33" s="44"/>
      <c r="H33" s="44"/>
      <c r="I33" s="44"/>
      <c r="J33" s="44"/>
      <c r="K33" s="44"/>
      <c r="L33" s="1040"/>
      <c r="M33" s="44"/>
      <c r="N33" s="44"/>
      <c r="O33" s="44"/>
      <c r="P33" s="44"/>
      <c r="Q33" s="44"/>
      <c r="S33" s="57" t="s">
        <v>427</v>
      </c>
      <c r="T33" s="57"/>
      <c r="U33" s="1074"/>
      <c r="V33" s="59" t="str">
        <f>IF(TITLE_NUMBER_PR_CHANGE="",IF(TITLE_NUMBER_PR="","",TITLE_NUMBER_PR),TITLE_NUMBER_PR_CHANGE)</f>
        <v>108-73/тп-2024</v>
      </c>
      <c r="W33" s="59"/>
      <c r="X33" s="59"/>
      <c r="Y33" s="59"/>
      <c r="Z33" s="59"/>
      <c r="AA33" s="59"/>
      <c r="AB33" s="59"/>
      <c r="AC33" s="42"/>
      <c r="AD33" s="59" t="str">
        <f>IF(TITLE_NUMBER_PR_CHANGE="",IF(TITLE_NUMBER_PR="","",TITLE_NUMBER_PR),TITLE_NUMBER_PR_CHANGE)</f>
        <v>108-73/тп-2024</v>
      </c>
      <c r="AE33" s="59"/>
      <c r="AF33" s="59"/>
      <c r="AG33" s="59"/>
      <c r="AH33" s="59"/>
      <c r="AI33" s="59"/>
      <c r="AJ33" s="59"/>
      <c r="AK33" s="59"/>
      <c r="AL33" s="59"/>
      <c r="AM33" s="59"/>
      <c r="AN33" s="59"/>
      <c r="AO33" s="59"/>
      <c r="AP33" s="59"/>
      <c r="AQ33" s="59"/>
      <c r="AR33" s="59"/>
      <c r="AS33" s="59"/>
      <c r="AT33" s="59"/>
      <c r="AU33" s="59"/>
      <c r="AV33" s="59"/>
      <c r="AW33" s="59"/>
      <c r="AX33" s="59"/>
      <c r="AY33" s="59"/>
      <c r="AZ33" s="59"/>
      <c r="BA33" s="42"/>
      <c r="BB33" s="42"/>
      <c r="BC33" s="121"/>
      <c r="BD33" s="150"/>
      <c r="BE33" s="150"/>
      <c r="BF33" s="150"/>
      <c r="BG33" s="150"/>
      <c r="BH33" s="150"/>
      <c r="BI33" s="35">
        <v>0</v>
      </c>
    </row>
    <row r="34" s="35" customFormat="1" ht="18.75" customHeight="1" spans="1:61">
      <c r="A34" s="44"/>
      <c r="B34" s="44"/>
      <c r="C34" s="44"/>
      <c r="D34" s="44"/>
      <c r="E34" s="44"/>
      <c r="F34" s="44"/>
      <c r="G34" s="44"/>
      <c r="H34" s="44"/>
      <c r="I34" s="44"/>
      <c r="J34" s="44"/>
      <c r="K34" s="44"/>
      <c r="L34" s="1040"/>
      <c r="M34" s="44"/>
      <c r="N34" s="44"/>
      <c r="O34" s="44"/>
      <c r="P34" s="44"/>
      <c r="Q34" s="44"/>
      <c r="S34" s="57" t="s">
        <v>44</v>
      </c>
      <c r="T34" s="57"/>
      <c r="U34" s="1074"/>
      <c r="V34" s="59" t="str">
        <f>IF(TITLE_IST_PUB_CHANGE="",IF(TITLE_IST_PUB="","",TITLE_IST_PUB),TITLE_IST_PUB_CHANGE)</f>
        <v>"Официальный портал правовой информации
Республики Татарстан"</v>
      </c>
      <c r="W34" s="59"/>
      <c r="X34" s="59"/>
      <c r="Y34" s="59"/>
      <c r="Z34" s="59"/>
      <c r="AA34" s="59"/>
      <c r="AB34" s="59"/>
      <c r="AC34" s="42"/>
      <c r="AD34" s="59" t="str">
        <f>IF(TITLE_IST_PUB_CHANGE="",IF(TITLE_IST_PUB="","",TITLE_IST_PUB),TITLE_IST_PUB_CHANGE)</f>
        <v>"Официальный портал правовой информации
Республики Татарстан"</v>
      </c>
      <c r="AE34" s="59"/>
      <c r="AF34" s="59"/>
      <c r="AG34" s="59"/>
      <c r="AH34" s="59"/>
      <c r="AI34" s="59"/>
      <c r="AJ34" s="59"/>
      <c r="AK34" s="59"/>
      <c r="AL34" s="59"/>
      <c r="AM34" s="59"/>
      <c r="AN34" s="59"/>
      <c r="AO34" s="59"/>
      <c r="AP34" s="59"/>
      <c r="AQ34" s="59"/>
      <c r="AR34" s="59"/>
      <c r="AS34" s="59"/>
      <c r="AT34" s="59"/>
      <c r="AU34" s="59"/>
      <c r="AV34" s="59"/>
      <c r="AW34" s="59"/>
      <c r="AX34" s="59"/>
      <c r="AY34" s="59"/>
      <c r="AZ34" s="59"/>
      <c r="BA34" s="42"/>
      <c r="BB34" s="42"/>
      <c r="BC34" s="121"/>
      <c r="BD34" s="150"/>
      <c r="BE34" s="150"/>
      <c r="BF34" s="150"/>
      <c r="BG34" s="150"/>
      <c r="BH34" s="150"/>
      <c r="BI34" s="35">
        <v>0</v>
      </c>
    </row>
    <row r="35" hidden="1" customHeight="1" spans="17:61">
      <c r="Q35" s="1073"/>
      <c r="R35" s="50"/>
      <c r="S35" s="51"/>
      <c r="T35" s="52"/>
      <c r="U35" s="52"/>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I35" s="42">
        <v>0</v>
      </c>
    </row>
    <row r="36" s="35" customFormat="1" ht="18.75" hidden="1" customHeight="1" spans="1:61">
      <c r="A36" s="44"/>
      <c r="B36" s="44"/>
      <c r="C36" s="44"/>
      <c r="D36" s="44"/>
      <c r="E36" s="44"/>
      <c r="F36" s="44"/>
      <c r="G36" s="44"/>
      <c r="H36" s="44"/>
      <c r="I36" s="44"/>
      <c r="J36" s="44"/>
      <c r="K36" s="44"/>
      <c r="L36" s="1040"/>
      <c r="M36" s="44"/>
      <c r="N36" s="44"/>
      <c r="O36" s="44"/>
      <c r="P36" s="44"/>
      <c r="Q36" s="44"/>
      <c r="S36" s="57" t="s">
        <v>426</v>
      </c>
      <c r="T36" s="57"/>
      <c r="U36" s="1074"/>
      <c r="V36" s="788">
        <f>IF(TITLE_DATE_PR_CHANGE="",IF(TITLE_DATE_PR="","",TITLE_DATE_PR),TITLE_DATE_PR_CHANGE)</f>
        <v>45525</v>
      </c>
      <c r="W36" s="788"/>
      <c r="X36" s="788"/>
      <c r="Y36" s="788"/>
      <c r="Z36" s="788"/>
      <c r="AA36" s="788"/>
      <c r="AB36" s="788"/>
      <c r="AC36" s="42"/>
      <c r="AD36" s="788">
        <f>IF(TITLE_DATE_PR_CHANGE="",IF(TITLE_DATE_PR="","",TITLE_DATE_PR),TITLE_DATE_PR_CHANGE)</f>
        <v>45525</v>
      </c>
      <c r="AE36" s="788"/>
      <c r="AF36" s="788"/>
      <c r="AG36" s="788"/>
      <c r="AH36" s="788"/>
      <c r="AI36" s="788"/>
      <c r="AJ36" s="788"/>
      <c r="AK36" s="788"/>
      <c r="AL36" s="788"/>
      <c r="AM36" s="788"/>
      <c r="AN36" s="788"/>
      <c r="AO36" s="788"/>
      <c r="AP36" s="788"/>
      <c r="AQ36" s="788"/>
      <c r="AR36" s="788"/>
      <c r="AS36" s="788"/>
      <c r="AT36" s="788"/>
      <c r="AU36" s="788"/>
      <c r="AV36" s="788"/>
      <c r="AW36" s="788"/>
      <c r="AX36" s="788"/>
      <c r="AY36" s="788"/>
      <c r="AZ36" s="788"/>
      <c r="BA36" s="42"/>
      <c r="BB36" s="42"/>
      <c r="BC36" s="121"/>
      <c r="BD36" s="150"/>
      <c r="BE36" s="150"/>
      <c r="BF36" s="150"/>
      <c r="BG36" s="150"/>
      <c r="BH36" s="150"/>
      <c r="BI36" s="35">
        <v>0</v>
      </c>
    </row>
    <row r="37" s="35" customFormat="1" ht="18.75" hidden="1" customHeight="1" spans="1:61">
      <c r="A37" s="44"/>
      <c r="B37" s="44"/>
      <c r="C37" s="44"/>
      <c r="D37" s="44"/>
      <c r="E37" s="44"/>
      <c r="F37" s="44"/>
      <c r="G37" s="44"/>
      <c r="H37" s="44"/>
      <c r="I37" s="44"/>
      <c r="J37" s="44"/>
      <c r="K37" s="44"/>
      <c r="L37" s="1040"/>
      <c r="M37" s="44"/>
      <c r="N37" s="44"/>
      <c r="O37" s="44"/>
      <c r="P37" s="44"/>
      <c r="Q37" s="44"/>
      <c r="S37" s="57" t="s">
        <v>427</v>
      </c>
      <c r="T37" s="57"/>
      <c r="U37" s="1074"/>
      <c r="V37" s="59" t="str">
        <f>IF(TITLE_NUMBER_PR_CHANGE="",IF(TITLE_NUMBER_PR="","",TITLE_NUMBER_PR),TITLE_NUMBER_PR_CHANGE)</f>
        <v>108-73/тп-2024</v>
      </c>
      <c r="W37" s="59"/>
      <c r="X37" s="59"/>
      <c r="Y37" s="59"/>
      <c r="Z37" s="59"/>
      <c r="AA37" s="59"/>
      <c r="AB37" s="59"/>
      <c r="AC37" s="42"/>
      <c r="AD37" s="59" t="str">
        <f>IF(TITLE_NUMBER_PR_CHANGE="",IF(TITLE_NUMBER_PR="","",TITLE_NUMBER_PR),TITLE_NUMBER_PR_CHANGE)</f>
        <v>108-73/тп-2024</v>
      </c>
      <c r="AE37" s="59"/>
      <c r="AF37" s="59"/>
      <c r="AG37" s="59"/>
      <c r="AH37" s="59"/>
      <c r="AI37" s="59"/>
      <c r="AJ37" s="59"/>
      <c r="AK37" s="59"/>
      <c r="AL37" s="59"/>
      <c r="AM37" s="59"/>
      <c r="AN37" s="59"/>
      <c r="AO37" s="59"/>
      <c r="AP37" s="59"/>
      <c r="AQ37" s="59"/>
      <c r="AR37" s="59"/>
      <c r="AS37" s="59"/>
      <c r="AT37" s="59"/>
      <c r="AU37" s="59"/>
      <c r="AV37" s="59"/>
      <c r="AW37" s="59"/>
      <c r="AX37" s="59"/>
      <c r="AY37" s="59"/>
      <c r="AZ37" s="59"/>
      <c r="BA37" s="42"/>
      <c r="BB37" s="42"/>
      <c r="BC37" s="121"/>
      <c r="BD37" s="150"/>
      <c r="BE37" s="150"/>
      <c r="BF37" s="150"/>
      <c r="BG37" s="150"/>
      <c r="BH37" s="150"/>
      <c r="BI37" s="35">
        <v>0</v>
      </c>
    </row>
    <row r="38" s="35" customFormat="1" hidden="1" customHeight="1" spans="1:61">
      <c r="A38" s="44"/>
      <c r="B38" s="44"/>
      <c r="C38" s="44"/>
      <c r="D38" s="44"/>
      <c r="E38" s="44"/>
      <c r="F38" s="44"/>
      <c r="G38" s="44"/>
      <c r="H38" s="44"/>
      <c r="I38" s="44"/>
      <c r="J38" s="44"/>
      <c r="K38" s="44"/>
      <c r="L38" s="1040"/>
      <c r="M38" s="44"/>
      <c r="N38" s="44"/>
      <c r="O38" s="44"/>
      <c r="P38" s="44"/>
      <c r="Q38" s="44"/>
      <c r="S38" s="42"/>
      <c r="T38" s="42"/>
      <c r="U38" s="60"/>
      <c r="V38" s="42"/>
      <c r="W38" s="42"/>
      <c r="X38" s="42"/>
      <c r="Y38" s="42"/>
      <c r="Z38" s="42"/>
      <c r="AA38" s="42"/>
      <c r="AB38" s="42"/>
      <c r="AC38" s="43" t="s">
        <v>430</v>
      </c>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3" t="s">
        <v>430</v>
      </c>
      <c r="BD38" s="150"/>
      <c r="BE38" s="150"/>
      <c r="BF38" s="150"/>
      <c r="BG38" s="150"/>
      <c r="BH38" s="150"/>
      <c r="BI38" s="35">
        <v>0</v>
      </c>
    </row>
    <row r="39" ht="14.7" customHeight="1" spans="17:61">
      <c r="Q39" s="1073"/>
      <c r="R39" s="50"/>
      <c r="S39" s="51"/>
      <c r="T39" s="52"/>
      <c r="U39" s="61"/>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I39" s="42">
        <v>14</v>
      </c>
    </row>
    <row r="40" ht="14.7" customHeight="1" spans="17:61">
      <c r="Q40" s="1073"/>
      <c r="R40" s="50"/>
      <c r="S40" s="63" t="s">
        <v>305</v>
      </c>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t="s">
        <v>306</v>
      </c>
      <c r="BI40" s="42">
        <v>14</v>
      </c>
    </row>
    <row r="41" ht="14.7" customHeight="1" spans="17:61">
      <c r="Q41" s="1073"/>
      <c r="R41" s="50"/>
      <c r="S41" s="64" t="s">
        <v>89</v>
      </c>
      <c r="T41" s="65" t="s">
        <v>509</v>
      </c>
      <c r="U41" s="66"/>
      <c r="V41" s="67" t="s">
        <v>432</v>
      </c>
      <c r="W41" s="68"/>
      <c r="X41" s="68"/>
      <c r="Y41" s="68"/>
      <c r="Z41" s="68"/>
      <c r="AA41" s="68"/>
      <c r="AB41" s="122"/>
      <c r="AC41" s="123" t="s">
        <v>433</v>
      </c>
      <c r="AD41" s="902" t="s">
        <v>510</v>
      </c>
      <c r="AE41" s="1085"/>
      <c r="AF41" s="1085"/>
      <c r="AG41" s="1097"/>
      <c r="AH41" s="902" t="s">
        <v>511</v>
      </c>
      <c r="AI41" s="1085"/>
      <c r="AJ41" s="1085"/>
      <c r="AK41" s="1097"/>
      <c r="AL41" s="902" t="s">
        <v>512</v>
      </c>
      <c r="AM41" s="1085"/>
      <c r="AN41" s="1085"/>
      <c r="AO41" s="1097"/>
      <c r="AP41" s="902" t="s">
        <v>513</v>
      </c>
      <c r="AQ41" s="1085"/>
      <c r="AR41" s="1085"/>
      <c r="AS41" s="1097"/>
      <c r="AT41" s="67" t="s">
        <v>432</v>
      </c>
      <c r="AU41" s="68"/>
      <c r="AV41" s="68"/>
      <c r="AW41" s="68"/>
      <c r="AX41" s="68"/>
      <c r="AY41" s="68"/>
      <c r="AZ41" s="122"/>
      <c r="BA41" s="123" t="s">
        <v>433</v>
      </c>
      <c r="BB41" s="124" t="s">
        <v>435</v>
      </c>
      <c r="BC41" s="63"/>
      <c r="BI41" s="42">
        <v>14</v>
      </c>
    </row>
    <row r="42" ht="35.7" customHeight="1" spans="17:61">
      <c r="Q42" s="1073"/>
      <c r="R42" s="50"/>
      <c r="S42" s="64"/>
      <c r="T42" s="65"/>
      <c r="U42" s="69"/>
      <c r="V42" s="892" t="s">
        <v>514</v>
      </c>
      <c r="W42" s="893"/>
      <c r="X42" s="892" t="s">
        <v>515</v>
      </c>
      <c r="Y42" s="893"/>
      <c r="Z42" s="892" t="s">
        <v>516</v>
      </c>
      <c r="AA42" s="1086"/>
      <c r="AB42" s="893"/>
      <c r="AC42" s="128"/>
      <c r="AD42" s="1087"/>
      <c r="AE42" s="1088"/>
      <c r="AF42" s="1088"/>
      <c r="AG42" s="1098"/>
      <c r="AH42" s="1087"/>
      <c r="AI42" s="1088"/>
      <c r="AJ42" s="1088"/>
      <c r="AK42" s="1098"/>
      <c r="AL42" s="1087"/>
      <c r="AM42" s="1088"/>
      <c r="AN42" s="1088"/>
      <c r="AO42" s="1098"/>
      <c r="AP42" s="1087"/>
      <c r="AQ42" s="1088"/>
      <c r="AR42" s="1088"/>
      <c r="AS42" s="1098"/>
      <c r="AT42" s="892" t="s">
        <v>514</v>
      </c>
      <c r="AU42" s="893"/>
      <c r="AV42" s="892" t="s">
        <v>515</v>
      </c>
      <c r="AW42" s="893"/>
      <c r="AX42" s="892" t="s">
        <v>516</v>
      </c>
      <c r="AY42" s="1086"/>
      <c r="AZ42" s="893"/>
      <c r="BA42" s="128"/>
      <c r="BB42" s="129"/>
      <c r="BC42" s="63"/>
      <c r="BI42" s="42">
        <v>34</v>
      </c>
    </row>
    <row r="43" ht="14.7" customHeight="1" spans="17:61">
      <c r="Q43" s="1073"/>
      <c r="R43" s="50"/>
      <c r="S43" s="64"/>
      <c r="T43" s="65"/>
      <c r="U43" s="69"/>
      <c r="V43" s="896"/>
      <c r="W43" s="897"/>
      <c r="X43" s="896"/>
      <c r="Y43" s="897"/>
      <c r="Z43" s="896"/>
      <c r="AA43" s="1089"/>
      <c r="AB43" s="897"/>
      <c r="AC43" s="128"/>
      <c r="AD43" s="1087"/>
      <c r="AE43" s="1088"/>
      <c r="AF43" s="1088"/>
      <c r="AG43" s="1098"/>
      <c r="AH43" s="1087"/>
      <c r="AI43" s="1088"/>
      <c r="AJ43" s="1088"/>
      <c r="AK43" s="1098"/>
      <c r="AL43" s="1087"/>
      <c r="AM43" s="1088"/>
      <c r="AN43" s="1088"/>
      <c r="AO43" s="1098"/>
      <c r="AP43" s="1087"/>
      <c r="AQ43" s="1088"/>
      <c r="AR43" s="1088"/>
      <c r="AS43" s="1098"/>
      <c r="AT43" s="896"/>
      <c r="AU43" s="897"/>
      <c r="AV43" s="896"/>
      <c r="AW43" s="897"/>
      <c r="AX43" s="896"/>
      <c r="AY43" s="1089"/>
      <c r="AZ43" s="897"/>
      <c r="BA43" s="128"/>
      <c r="BB43" s="129"/>
      <c r="BC43" s="63"/>
      <c r="BI43" s="42">
        <v>14</v>
      </c>
    </row>
    <row r="44" ht="14.7" customHeight="1" spans="1:61">
      <c r="A44" s="44"/>
      <c r="B44" s="44" t="s">
        <v>137</v>
      </c>
      <c r="C44" s="44" t="s">
        <v>138</v>
      </c>
      <c r="D44" s="44" t="s">
        <v>139</v>
      </c>
      <c r="E44" s="1040" t="s">
        <v>440</v>
      </c>
      <c r="F44" s="1040" t="s">
        <v>441</v>
      </c>
      <c r="G44" s="1040" t="s">
        <v>442</v>
      </c>
      <c r="H44" s="1040" t="s">
        <v>443</v>
      </c>
      <c r="I44" s="1040" t="s">
        <v>444</v>
      </c>
      <c r="J44" s="1040" t="s">
        <v>445</v>
      </c>
      <c r="K44" s="1040" t="s">
        <v>446</v>
      </c>
      <c r="L44" s="1040" t="s">
        <v>421</v>
      </c>
      <c r="Q44" s="1073"/>
      <c r="R44" s="50"/>
      <c r="S44" s="64"/>
      <c r="T44" s="65"/>
      <c r="U44" s="71"/>
      <c r="V44" s="65" t="s">
        <v>480</v>
      </c>
      <c r="W44" s="65" t="s">
        <v>481</v>
      </c>
      <c r="X44" s="65" t="s">
        <v>480</v>
      </c>
      <c r="Y44" s="65" t="s">
        <v>481</v>
      </c>
      <c r="Z44" s="130" t="s">
        <v>449</v>
      </c>
      <c r="AA44" s="131" t="s">
        <v>450</v>
      </c>
      <c r="AB44" s="132"/>
      <c r="AC44" s="133"/>
      <c r="AD44" s="1090"/>
      <c r="AE44" s="1091"/>
      <c r="AF44" s="1091"/>
      <c r="AG44" s="1099"/>
      <c r="AH44" s="1090"/>
      <c r="AI44" s="1091"/>
      <c r="AJ44" s="1091"/>
      <c r="AK44" s="1099"/>
      <c r="AL44" s="1090"/>
      <c r="AM44" s="1091"/>
      <c r="AN44" s="1091"/>
      <c r="AO44" s="1099"/>
      <c r="AP44" s="1090"/>
      <c r="AQ44" s="1091"/>
      <c r="AR44" s="1091"/>
      <c r="AS44" s="1099"/>
      <c r="AT44" s="65" t="s">
        <v>480</v>
      </c>
      <c r="AU44" s="65" t="s">
        <v>481</v>
      </c>
      <c r="AV44" s="65" t="s">
        <v>480</v>
      </c>
      <c r="AW44" s="65" t="s">
        <v>481</v>
      </c>
      <c r="AX44" s="130" t="s">
        <v>449</v>
      </c>
      <c r="AY44" s="131" t="s">
        <v>450</v>
      </c>
      <c r="AZ44" s="132"/>
      <c r="BA44" s="133"/>
      <c r="BB44" s="134"/>
      <c r="BC44" s="63"/>
      <c r="BI44" s="42">
        <v>14</v>
      </c>
    </row>
    <row r="45" s="36" customFormat="1" ht="11.25" hidden="1" customHeight="1" spans="1:61">
      <c r="A45" s="44"/>
      <c r="B45" s="44"/>
      <c r="C45" s="44"/>
      <c r="D45" s="44"/>
      <c r="E45" s="44"/>
      <c r="F45" s="44"/>
      <c r="G45" s="44"/>
      <c r="H45" s="44"/>
      <c r="I45" s="44"/>
      <c r="J45" s="44"/>
      <c r="K45" s="44"/>
      <c r="L45" s="1040"/>
      <c r="M45" s="38"/>
      <c r="N45" s="38"/>
      <c r="O45" s="38"/>
      <c r="P45" s="1043"/>
      <c r="Q45" s="75"/>
      <c r="R45" s="75">
        <v>1</v>
      </c>
      <c r="S45" s="76" t="s">
        <v>111</v>
      </c>
      <c r="T45" s="77" t="s">
        <v>112</v>
      </c>
      <c r="U45" s="78" t="str">
        <f ca="1">OFFSET(U45,0,-1)</f>
        <v>2</v>
      </c>
      <c r="V45" s="79">
        <f ca="1" t="shared" ref="V45:AA45" si="2">OFFSET(V45,0,-1)+1</f>
        <v>3</v>
      </c>
      <c r="W45" s="79">
        <f ca="1" t="shared" si="2"/>
        <v>4</v>
      </c>
      <c r="X45" s="79">
        <f ca="1" t="shared" si="2"/>
        <v>5</v>
      </c>
      <c r="Y45" s="79">
        <f ca="1" t="shared" si="2"/>
        <v>6</v>
      </c>
      <c r="Z45" s="79">
        <f ca="1" t="shared" si="2"/>
        <v>7</v>
      </c>
      <c r="AA45" s="79">
        <f ca="1" t="shared" si="2"/>
        <v>8</v>
      </c>
      <c r="AB45" s="79"/>
      <c r="AC45" s="79">
        <f ca="1">OFFSET(AC45,0,-2)+1</f>
        <v>9</v>
      </c>
      <c r="AD45" s="79">
        <f ca="1">OFFSET(AD45,0,-1)+1</f>
        <v>10</v>
      </c>
      <c r="AE45" s="79"/>
      <c r="AF45" s="79"/>
      <c r="AG45" s="79"/>
      <c r="AH45" s="79"/>
      <c r="AI45" s="79"/>
      <c r="AJ45" s="79"/>
      <c r="AK45" s="79"/>
      <c r="AL45" s="79"/>
      <c r="AM45" s="79"/>
      <c r="AN45" s="79"/>
      <c r="AO45" s="79"/>
      <c r="AP45" s="79"/>
      <c r="AQ45" s="79"/>
      <c r="AR45" s="79"/>
      <c r="AS45" s="79"/>
      <c r="AT45" s="79"/>
      <c r="AU45" s="79"/>
      <c r="AV45" s="79"/>
      <c r="AW45" s="79">
        <f ca="1">OFFSET(AW45,0,-1)+1</f>
        <v>1</v>
      </c>
      <c r="AX45" s="79">
        <f ca="1">OFFSET(AX45,0,-1)+1</f>
        <v>2</v>
      </c>
      <c r="AY45" s="79">
        <f ca="1">OFFSET(AY45,0,-1)+1</f>
        <v>3</v>
      </c>
      <c r="AZ45" s="79"/>
      <c r="BA45" s="79">
        <f ca="1">OFFSET(BA45,0,-2)+1</f>
        <v>4</v>
      </c>
      <c r="BB45" s="78">
        <f ca="1">OFFSET(BB45,0,-1)</f>
        <v>4</v>
      </c>
      <c r="BC45" s="79">
        <f ca="1">OFFSET(BC45,0,-1)+1</f>
        <v>5</v>
      </c>
      <c r="BD45" s="43"/>
      <c r="BE45" s="43"/>
      <c r="BF45" s="43"/>
      <c r="BG45" s="43"/>
      <c r="BH45" s="43"/>
      <c r="BI45" s="36">
        <v>0</v>
      </c>
    </row>
    <row r="46" ht="22.05" customHeight="1" spans="1:61">
      <c r="A46" s="45" t="s">
        <v>248</v>
      </c>
      <c r="B46" s="45"/>
      <c r="C46" s="45"/>
      <c r="D46" s="45"/>
      <c r="E46" s="1038">
        <v>1</v>
      </c>
      <c r="F46" s="45"/>
      <c r="G46" s="45"/>
      <c r="H46" s="45"/>
      <c r="I46" s="45"/>
      <c r="J46" s="45"/>
      <c r="K46" s="45"/>
      <c r="L46" s="1040"/>
      <c r="M46" s="46"/>
      <c r="N46" s="46"/>
      <c r="O46" s="46"/>
      <c r="Q46" s="263"/>
      <c r="R46" s="81"/>
      <c r="S46" s="64">
        <f>INDEX(PT_DIFFERENTIATION_NUM_NTAR,MATCH(A46,PT_DIFFERENTIATION_NTAR_ID,0))</f>
        <v>1</v>
      </c>
      <c r="T46" s="82" t="s">
        <v>125</v>
      </c>
      <c r="U46" s="83"/>
      <c r="V46" s="1047"/>
      <c r="W46" s="1047"/>
      <c r="X46" s="1047"/>
      <c r="Y46" s="1047"/>
      <c r="Z46" s="1047"/>
      <c r="AA46" s="1047"/>
      <c r="AB46" s="1047"/>
      <c r="AC46" s="1075"/>
      <c r="AD46" s="1076" t="str">
        <f>INDEX(PT_DIFFERENTIATION_NTAR,MATCH(A46,PT_DIFFERENTIATION_NTAR_ID,0))</f>
        <v>Подключение (технологическое присоединение) к централизованной системе водоснабжения
</v>
      </c>
      <c r="AE46" s="1047"/>
      <c r="AF46" s="1047"/>
      <c r="AG46" s="1047"/>
      <c r="AH46" s="1047"/>
      <c r="AI46" s="1047"/>
      <c r="AJ46" s="1047"/>
      <c r="AK46" s="1047"/>
      <c r="AL46" s="1047"/>
      <c r="AM46" s="1047"/>
      <c r="AN46" s="1047"/>
      <c r="AO46" s="1047"/>
      <c r="AP46" s="1047"/>
      <c r="AQ46" s="1047"/>
      <c r="AR46" s="1047"/>
      <c r="AS46" s="1047"/>
      <c r="AT46" s="1047"/>
      <c r="AU46" s="1047"/>
      <c r="AV46" s="1047"/>
      <c r="AW46" s="1047"/>
      <c r="AX46" s="1047"/>
      <c r="AY46" s="1047"/>
      <c r="AZ46" s="1047"/>
      <c r="BA46" s="1047"/>
      <c r="BB46" s="1075"/>
      <c r="BC46"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50"/>
      <c r="BF46" s="150" t="str">
        <f t="shared" ref="BF46:BF52" si="3">IF(T46="","",T46)</f>
        <v>Наименование тарифа</v>
      </c>
      <c r="BG46" s="150"/>
      <c r="BH46" s="150"/>
      <c r="BI46" s="42">
        <v>21</v>
      </c>
    </row>
    <row r="47" ht="22.05" customHeight="1" spans="1:61">
      <c r="A47" s="45" t="s">
        <v>248</v>
      </c>
      <c r="B47" s="45" t="s">
        <v>249</v>
      </c>
      <c r="C47" s="45"/>
      <c r="D47" s="45"/>
      <c r="E47" s="1039"/>
      <c r="F47" s="1038">
        <v>1</v>
      </c>
      <c r="G47" s="45"/>
      <c r="H47" s="45"/>
      <c r="I47" s="45"/>
      <c r="J47" s="45"/>
      <c r="K47" s="45"/>
      <c r="L47" s="1040"/>
      <c r="M47" s="46"/>
      <c r="N47" s="46"/>
      <c r="O47" s="46"/>
      <c r="P47" s="47"/>
      <c r="Q47" s="1048"/>
      <c r="R47" s="87"/>
      <c r="S47" s="64" t="str">
        <f>INDEX(PT_DIFFERENTIATION_NUM_TER,MATCH(B47,PT_DIFFERENTIATION_TER_ID,0))</f>
        <v>1.1</v>
      </c>
      <c r="T47" s="88" t="s">
        <v>402</v>
      </c>
      <c r="U47" s="83"/>
      <c r="V47" s="1047"/>
      <c r="W47" s="1047"/>
      <c r="X47" s="1047"/>
      <c r="Y47" s="1047"/>
      <c r="Z47" s="1047"/>
      <c r="AA47" s="1047"/>
      <c r="AB47" s="1047"/>
      <c r="AC47" s="1075"/>
      <c r="AD47" s="1076" t="str">
        <f>INDEX(PT_DIFFERENTIATION_TER,MATCH(B47,PT_DIFFERENTIATION_TER_ID,0))</f>
        <v>Территория 1</v>
      </c>
      <c r="AE47" s="1047"/>
      <c r="AF47" s="1047"/>
      <c r="AG47" s="1047"/>
      <c r="AH47" s="1047"/>
      <c r="AI47" s="1047"/>
      <c r="AJ47" s="1047"/>
      <c r="AK47" s="1047"/>
      <c r="AL47" s="1047"/>
      <c r="AM47" s="1047"/>
      <c r="AN47" s="1047"/>
      <c r="AO47" s="1047"/>
      <c r="AP47" s="1047"/>
      <c r="AQ47" s="1047"/>
      <c r="AR47" s="1047"/>
      <c r="AS47" s="1047"/>
      <c r="AT47" s="1047"/>
      <c r="AU47" s="1047"/>
      <c r="AV47" s="1047"/>
      <c r="AW47" s="1047"/>
      <c r="AX47" s="1047"/>
      <c r="AY47" s="1047"/>
      <c r="AZ47" s="1047"/>
      <c r="BA47" s="1047"/>
      <c r="BB47" s="1075"/>
      <c r="BC47" s="135" t="s">
        <v>403</v>
      </c>
      <c r="BE47" s="150"/>
      <c r="BF47" s="150" t="str">
        <f t="shared" si="3"/>
        <v>Территория действия тарифа</v>
      </c>
      <c r="BG47" s="150"/>
      <c r="BH47" s="150"/>
      <c r="BI47" s="42">
        <v>21</v>
      </c>
    </row>
    <row r="48" ht="43.05" customHeight="1" spans="1:61">
      <c r="A48" s="45" t="s">
        <v>248</v>
      </c>
      <c r="B48" s="45" t="s">
        <v>249</v>
      </c>
      <c r="C48" s="45" t="s">
        <v>250</v>
      </c>
      <c r="D48" s="45"/>
      <c r="E48" s="1039"/>
      <c r="F48" s="1039"/>
      <c r="G48" s="1038">
        <v>1</v>
      </c>
      <c r="H48" s="45"/>
      <c r="I48" s="45"/>
      <c r="J48" s="45"/>
      <c r="K48" s="45"/>
      <c r="L48" s="1040"/>
      <c r="M48" s="46"/>
      <c r="N48" s="46"/>
      <c r="O48" s="46"/>
      <c r="P48" s="1041"/>
      <c r="Q48" s="1048"/>
      <c r="R48" s="87"/>
      <c r="S48" s="64" t="str">
        <f>INDEX(PT_DIFFERENTIATION_NUM_CS,MATCH(C48,PT_DIFFERENTIATION_CS_ID,0))</f>
        <v>1.1.1</v>
      </c>
      <c r="T48" s="90" t="s">
        <v>483</v>
      </c>
      <c r="U48" s="83"/>
      <c r="V48" s="1047"/>
      <c r="W48" s="1047"/>
      <c r="X48" s="1047"/>
      <c r="Y48" s="1047"/>
      <c r="Z48" s="1047"/>
      <c r="AA48" s="1047"/>
      <c r="AB48" s="1047"/>
      <c r="AC48" s="1075"/>
      <c r="AD48" s="1076" t="str">
        <f>INDEX(PT_DIFFERENTIATION_CS,MATCH(C48,PT_DIFFERENTIATION_CS_ID,0))</f>
        <v>без дифференциации</v>
      </c>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75"/>
      <c r="BC48" s="135" t="s">
        <v>484</v>
      </c>
      <c r="BE48" s="150"/>
      <c r="BF48" s="150" t="str">
        <f t="shared" si="3"/>
        <v>Наименование централизованной системы холодного водоснабжения</v>
      </c>
      <c r="BG48" s="150"/>
      <c r="BH48" s="150"/>
      <c r="BI48" s="42">
        <v>41</v>
      </c>
    </row>
    <row r="49" s="43" customFormat="1" hidden="1" customHeight="1" spans="1:61">
      <c r="A49" s="587" t="s">
        <v>248</v>
      </c>
      <c r="B49" s="587" t="s">
        <v>249</v>
      </c>
      <c r="C49" s="587" t="s">
        <v>250</v>
      </c>
      <c r="D49" s="587" t="s">
        <v>517</v>
      </c>
      <c r="E49" s="1039"/>
      <c r="F49" s="1039"/>
      <c r="G49" s="1039"/>
      <c r="H49" s="1038">
        <v>1</v>
      </c>
      <c r="I49" s="587"/>
      <c r="J49" s="587"/>
      <c r="K49" s="587"/>
      <c r="L49" s="608"/>
      <c r="M49" s="282"/>
      <c r="N49" s="282"/>
      <c r="O49" s="282"/>
      <c r="P49" s="1042"/>
      <c r="Q49" s="1049"/>
      <c r="R49" s="96"/>
      <c r="S49" s="329"/>
      <c r="T49" s="1050"/>
      <c r="U49" s="1051"/>
      <c r="V49" s="1052"/>
      <c r="W49" s="1052"/>
      <c r="X49" s="1052"/>
      <c r="Y49" s="1052"/>
      <c r="Z49" s="1052"/>
      <c r="AA49" s="1052"/>
      <c r="AB49" s="1052"/>
      <c r="AC49" s="1077"/>
      <c r="AD49" s="1078"/>
      <c r="AE49" s="1052"/>
      <c r="AF49" s="1052"/>
      <c r="AG49" s="1052"/>
      <c r="AH49" s="1052"/>
      <c r="AI49" s="1052"/>
      <c r="AJ49" s="1052"/>
      <c r="AK49" s="1052"/>
      <c r="AL49" s="1052"/>
      <c r="AM49" s="1052"/>
      <c r="AN49" s="1052"/>
      <c r="AO49" s="1052"/>
      <c r="AP49" s="1052"/>
      <c r="AQ49" s="1052"/>
      <c r="AR49" s="1052"/>
      <c r="AS49" s="1052"/>
      <c r="AT49" s="1052"/>
      <c r="AU49" s="1052"/>
      <c r="AV49" s="1052"/>
      <c r="AW49" s="1052"/>
      <c r="AX49" s="1052"/>
      <c r="AY49" s="1052"/>
      <c r="AZ49" s="1052"/>
      <c r="BA49" s="1052"/>
      <c r="BB49" s="1077"/>
      <c r="BC49" s="981" t="s">
        <v>407</v>
      </c>
      <c r="BE49" s="150"/>
      <c r="BF49" s="150" t="str">
        <f t="shared" si="3"/>
        <v/>
      </c>
      <c r="BG49" s="150"/>
      <c r="BH49" s="150"/>
      <c r="BI49" s="43">
        <v>0</v>
      </c>
    </row>
    <row r="50" s="43" customFormat="1" hidden="1" customHeight="1" spans="1:61">
      <c r="A50" s="587" t="s">
        <v>248</v>
      </c>
      <c r="B50" s="587" t="s">
        <v>249</v>
      </c>
      <c r="C50" s="587" t="s">
        <v>250</v>
      </c>
      <c r="D50" s="587" t="s">
        <v>517</v>
      </c>
      <c r="E50" s="1039"/>
      <c r="F50" s="1039"/>
      <c r="G50" s="1039"/>
      <c r="H50" s="1039"/>
      <c r="I50" s="228" t="str">
        <f>S49&amp;".1"</f>
        <v>.1</v>
      </c>
      <c r="J50" s="587"/>
      <c r="K50" s="587"/>
      <c r="L50" s="608" t="s">
        <v>408</v>
      </c>
      <c r="M50" s="1043"/>
      <c r="N50" s="1043"/>
      <c r="O50" s="1043"/>
      <c r="P50" s="92">
        <v>1</v>
      </c>
      <c r="Q50" s="92"/>
      <c r="R50" s="93"/>
      <c r="S50" s="329"/>
      <c r="T50" s="1053"/>
      <c r="U50" s="1051"/>
      <c r="V50" s="1052"/>
      <c r="W50" s="1052"/>
      <c r="X50" s="1052"/>
      <c r="Y50" s="1052"/>
      <c r="Z50" s="1052"/>
      <c r="AA50" s="1052"/>
      <c r="AB50" s="1052"/>
      <c r="AC50" s="1077"/>
      <c r="AD50" s="1078"/>
      <c r="AE50" s="1052"/>
      <c r="AF50" s="1052"/>
      <c r="AG50" s="1052"/>
      <c r="AH50" s="1052"/>
      <c r="AI50" s="1052"/>
      <c r="AJ50" s="1052"/>
      <c r="AK50" s="1052"/>
      <c r="AL50" s="1052"/>
      <c r="AM50" s="1052"/>
      <c r="AN50" s="1052"/>
      <c r="AO50" s="1052"/>
      <c r="AP50" s="1052"/>
      <c r="AQ50" s="1052"/>
      <c r="AR50" s="1052"/>
      <c r="AS50" s="1052"/>
      <c r="AT50" s="1052"/>
      <c r="AU50" s="1052"/>
      <c r="AV50" s="1052"/>
      <c r="AW50" s="1052"/>
      <c r="AX50" s="1052"/>
      <c r="AY50" s="1052"/>
      <c r="AZ50" s="1052"/>
      <c r="BA50" s="1052"/>
      <c r="BB50" s="1077"/>
      <c r="BC50" s="981"/>
      <c r="BE50" s="150"/>
      <c r="BF50" s="150" t="str">
        <f t="shared" si="3"/>
        <v/>
      </c>
      <c r="BG50" s="150"/>
      <c r="BH50" s="150"/>
      <c r="BI50" s="43">
        <v>0</v>
      </c>
    </row>
    <row r="51" s="43" customFormat="1" hidden="1" customHeight="1" spans="1:61">
      <c r="A51" s="587" t="s">
        <v>248</v>
      </c>
      <c r="B51" s="587" t="s">
        <v>249</v>
      </c>
      <c r="C51" s="587" t="s">
        <v>250</v>
      </c>
      <c r="D51" s="587" t="s">
        <v>517</v>
      </c>
      <c r="E51" s="1039"/>
      <c r="F51" s="1039"/>
      <c r="G51" s="1039"/>
      <c r="H51" s="1039"/>
      <c r="I51" s="1044"/>
      <c r="J51" s="228" t="str">
        <f>S49&amp;".1"</f>
        <v>.1</v>
      </c>
      <c r="K51" s="587"/>
      <c r="L51" s="608"/>
      <c r="M51" s="1043"/>
      <c r="N51" s="1043"/>
      <c r="O51" s="1043"/>
      <c r="P51" s="92"/>
      <c r="Q51" s="92">
        <v>1</v>
      </c>
      <c r="R51" s="96"/>
      <c r="S51" s="329"/>
      <c r="T51" s="1054"/>
      <c r="U51" s="1051"/>
      <c r="V51" s="1052"/>
      <c r="W51" s="1052"/>
      <c r="X51" s="1052"/>
      <c r="Y51" s="1052"/>
      <c r="Z51" s="1052"/>
      <c r="AA51" s="1052"/>
      <c r="AB51" s="1052"/>
      <c r="AC51" s="1077"/>
      <c r="AD51" s="1078"/>
      <c r="AE51" s="1052"/>
      <c r="AF51" s="1052"/>
      <c r="AG51" s="1052"/>
      <c r="AH51" s="1052"/>
      <c r="AI51" s="1052"/>
      <c r="AJ51" s="1052"/>
      <c r="AK51" s="1052"/>
      <c r="AL51" s="1052"/>
      <c r="AM51" s="1052"/>
      <c r="AN51" s="1100"/>
      <c r="AO51" s="1100"/>
      <c r="AP51" s="1052"/>
      <c r="AQ51" s="1052"/>
      <c r="AR51" s="1052"/>
      <c r="AS51" s="1052"/>
      <c r="AT51" s="1052"/>
      <c r="AU51" s="1052"/>
      <c r="AV51" s="1052"/>
      <c r="AW51" s="1052"/>
      <c r="AX51" s="1052"/>
      <c r="AY51" s="1052"/>
      <c r="AZ51" s="1052"/>
      <c r="BA51" s="1052"/>
      <c r="BB51" s="1077"/>
      <c r="BC51" s="981"/>
      <c r="BE51" s="150"/>
      <c r="BF51" s="150" t="str">
        <f t="shared" si="3"/>
        <v/>
      </c>
      <c r="BG51" s="150"/>
      <c r="BH51" s="150"/>
      <c r="BI51" s="43">
        <v>0</v>
      </c>
    </row>
    <row r="52" ht="11.55" customHeight="1" spans="1:61">
      <c r="A52" s="45" t="s">
        <v>248</v>
      </c>
      <c r="B52" s="45" t="s">
        <v>249</v>
      </c>
      <c r="C52" s="45" t="s">
        <v>250</v>
      </c>
      <c r="D52" s="45" t="s">
        <v>517</v>
      </c>
      <c r="E52" s="1039"/>
      <c r="F52" s="1039"/>
      <c r="G52" s="1039"/>
      <c r="H52" s="1039"/>
      <c r="I52" s="1044"/>
      <c r="J52" s="1044"/>
      <c r="K52" s="228" t="str">
        <f>S48&amp;".1"</f>
        <v>1.1.1.1</v>
      </c>
      <c r="L52" s="1040"/>
      <c r="P52" s="92"/>
      <c r="Q52" s="92"/>
      <c r="R52" s="96">
        <v>1</v>
      </c>
      <c r="S52" s="1056" t="str">
        <f>$K52</f>
        <v>1.1.1.1</v>
      </c>
      <c r="T52" s="1057" t="s">
        <v>518</v>
      </c>
      <c r="U52" s="83"/>
      <c r="V52" s="101"/>
      <c r="W52" s="137"/>
      <c r="X52" s="101"/>
      <c r="Y52" s="137"/>
      <c r="Z52" s="138"/>
      <c r="AA52" s="139" t="s">
        <v>62</v>
      </c>
      <c r="AB52" s="138"/>
      <c r="AC52" s="139" t="s">
        <v>62</v>
      </c>
      <c r="AD52" s="472" t="s">
        <v>62</v>
      </c>
      <c r="AE52" s="1079"/>
      <c r="AF52" s="661">
        <v>1</v>
      </c>
      <c r="AG52" s="1092">
        <v>26.04</v>
      </c>
      <c r="AH52" s="139" t="s">
        <v>62</v>
      </c>
      <c r="AI52" s="1079"/>
      <c r="AJ52" s="661">
        <v>1</v>
      </c>
      <c r="AK52" s="1093" t="s">
        <v>519</v>
      </c>
      <c r="AL52" s="139" t="s">
        <v>62</v>
      </c>
      <c r="AM52" s="892"/>
      <c r="AN52" s="661">
        <v>1</v>
      </c>
      <c r="AO52" s="1101">
        <v>0.18</v>
      </c>
      <c r="AP52" s="1102" t="s">
        <v>62</v>
      </c>
      <c r="AQ52" s="1103"/>
      <c r="AR52" s="661">
        <v>1</v>
      </c>
      <c r="AS52" s="446" t="s">
        <v>520</v>
      </c>
      <c r="AT52" s="101">
        <f>AU52*1.2</f>
        <v>2.19792</v>
      </c>
      <c r="AU52" s="137">
        <v>1.8316</v>
      </c>
      <c r="AV52" s="101">
        <f>AW52*1.2</f>
        <v>15534.816</v>
      </c>
      <c r="AW52" s="137">
        <v>12945.68</v>
      </c>
      <c r="AX52" s="138">
        <v>45658</v>
      </c>
      <c r="AY52" s="139" t="s">
        <v>62</v>
      </c>
      <c r="AZ52" s="138">
        <v>46022</v>
      </c>
      <c r="BA52" s="139" t="s">
        <v>62</v>
      </c>
      <c r="BB52" s="1106"/>
      <c r="BC52" s="140" t="s">
        <v>503</v>
      </c>
      <c r="BE52" s="150"/>
      <c r="BF52" s="150" t="str">
        <f t="shared" si="3"/>
        <v>Физические/юридические лица по г.Елабуга</v>
      </c>
      <c r="BG52" s="150"/>
      <c r="BH52" s="150"/>
      <c r="BI52" s="42">
        <v>11</v>
      </c>
    </row>
    <row r="53" ht="11.55" customHeight="1" spans="1:61">
      <c r="A53" s="45"/>
      <c r="B53" s="45"/>
      <c r="C53" s="45"/>
      <c r="D53" s="45"/>
      <c r="E53" s="1039"/>
      <c r="F53" s="1039"/>
      <c r="G53" s="1039"/>
      <c r="H53" s="1039"/>
      <c r="I53" s="1044"/>
      <c r="J53" s="1044"/>
      <c r="K53" s="228"/>
      <c r="L53" s="1040"/>
      <c r="P53" s="92"/>
      <c r="Q53" s="92"/>
      <c r="R53" s="96"/>
      <c r="S53" s="1058"/>
      <c r="T53" s="1059"/>
      <c r="U53" s="83"/>
      <c r="V53" s="1060"/>
      <c r="W53" s="1061"/>
      <c r="X53" s="1060"/>
      <c r="Y53" s="1061"/>
      <c r="Z53" s="1060"/>
      <c r="AA53" s="1060"/>
      <c r="AB53" s="1060"/>
      <c r="AC53" s="1060"/>
      <c r="AD53" s="474"/>
      <c r="AE53" s="1079"/>
      <c r="AF53" s="661"/>
      <c r="AG53" s="1092"/>
      <c r="AH53" s="139"/>
      <c r="AI53" s="1079"/>
      <c r="AJ53" s="661"/>
      <c r="AK53" s="1093"/>
      <c r="AL53" s="139"/>
      <c r="AM53" s="896"/>
      <c r="AN53" s="661"/>
      <c r="AO53" s="1101"/>
      <c r="AP53" s="1104"/>
      <c r="AQ53" s="330"/>
      <c r="AR53" s="331"/>
      <c r="AS53" s="331" t="s">
        <v>504</v>
      </c>
      <c r="AT53" s="1060"/>
      <c r="AU53" s="1061"/>
      <c r="AV53" s="1060"/>
      <c r="AW53" s="1061"/>
      <c r="AX53" s="1060"/>
      <c r="AY53" s="1060"/>
      <c r="AZ53" s="1060"/>
      <c r="BA53" s="1060"/>
      <c r="BB53" s="1107"/>
      <c r="BC53" s="143"/>
      <c r="BE53" s="150"/>
      <c r="BF53" s="150"/>
      <c r="BG53" s="150"/>
      <c r="BH53" s="150"/>
      <c r="BI53" s="42">
        <v>11</v>
      </c>
    </row>
    <row r="54" ht="11.55" customHeight="1" spans="1:61">
      <c r="A54" s="45" t="s">
        <v>248</v>
      </c>
      <c r="B54" s="45"/>
      <c r="C54" s="45"/>
      <c r="D54" s="45"/>
      <c r="E54" s="1039"/>
      <c r="F54" s="1039"/>
      <c r="G54" s="1039"/>
      <c r="H54" s="1039"/>
      <c r="I54" s="1044"/>
      <c r="J54" s="1044"/>
      <c r="K54" s="228"/>
      <c r="L54" s="1040"/>
      <c r="P54" s="92"/>
      <c r="Q54" s="92"/>
      <c r="R54" s="96"/>
      <c r="S54" s="1058"/>
      <c r="T54" s="1059"/>
      <c r="U54" s="83"/>
      <c r="V54" s="1060"/>
      <c r="W54" s="1061"/>
      <c r="X54" s="1060"/>
      <c r="Y54" s="1061"/>
      <c r="Z54" s="1060"/>
      <c r="AA54" s="1060"/>
      <c r="AB54" s="1060"/>
      <c r="AC54" s="1060"/>
      <c r="AD54" s="474"/>
      <c r="AE54" s="1079"/>
      <c r="AF54" s="661"/>
      <c r="AG54" s="1092"/>
      <c r="AH54" s="139"/>
      <c r="AI54" s="1079"/>
      <c r="AJ54" s="661"/>
      <c r="AK54" s="1093"/>
      <c r="AL54" s="139"/>
      <c r="AM54" s="330"/>
      <c r="AN54" s="598"/>
      <c r="AO54" s="598" t="s">
        <v>505</v>
      </c>
      <c r="AP54" s="331"/>
      <c r="AQ54" s="331"/>
      <c r="AR54" s="331"/>
      <c r="AS54" s="1060"/>
      <c r="AT54" s="1060"/>
      <c r="AU54" s="1061"/>
      <c r="AV54" s="1060"/>
      <c r="AW54" s="1061"/>
      <c r="AX54" s="1060"/>
      <c r="AY54" s="1060"/>
      <c r="AZ54" s="1060"/>
      <c r="BA54" s="1060"/>
      <c r="BB54" s="1107"/>
      <c r="BC54" s="143"/>
      <c r="BE54" s="150"/>
      <c r="BF54" s="150"/>
      <c r="BG54" s="150"/>
      <c r="BH54" s="150"/>
      <c r="BI54" s="42">
        <v>11</v>
      </c>
    </row>
    <row r="55" customHeight="1" spans="1:61">
      <c r="A55" s="45"/>
      <c r="B55" s="45"/>
      <c r="C55" s="45"/>
      <c r="D55" s="45"/>
      <c r="E55" s="1039"/>
      <c r="F55" s="1039"/>
      <c r="G55" s="1039"/>
      <c r="H55" s="1039"/>
      <c r="I55" s="1044"/>
      <c r="J55" s="1044"/>
      <c r="K55" s="228" t="str">
        <f>S51&amp;".1"</f>
        <v>.1</v>
      </c>
      <c r="L55" s="1040"/>
      <c r="P55" s="92"/>
      <c r="Q55" s="92"/>
      <c r="R55" s="1055">
        <v>1</v>
      </c>
      <c r="S55" s="1056" t="str">
        <f>$K55</f>
        <v>.1</v>
      </c>
      <c r="T55" s="1057"/>
      <c r="U55" s="83"/>
      <c r="V55" s="101"/>
      <c r="W55" s="137"/>
      <c r="X55" s="101"/>
      <c r="Y55" s="137"/>
      <c r="Z55" s="138"/>
      <c r="AA55" s="139" t="s">
        <v>62</v>
      </c>
      <c r="AB55" s="138"/>
      <c r="AC55" s="139" t="s">
        <v>62</v>
      </c>
      <c r="AD55" s="472" t="s">
        <v>62</v>
      </c>
      <c r="AE55" s="1079"/>
      <c r="AF55" s="661">
        <v>1</v>
      </c>
      <c r="AG55" s="1092"/>
      <c r="AH55" s="139" t="s">
        <v>62</v>
      </c>
      <c r="AI55" s="234" t="s">
        <v>521</v>
      </c>
      <c r="AJ55" s="661" t="s">
        <v>112</v>
      </c>
      <c r="AK55" s="1093" t="s">
        <v>522</v>
      </c>
      <c r="AL55" s="139" t="s">
        <v>62</v>
      </c>
      <c r="AM55" s="892"/>
      <c r="AN55" s="661">
        <v>1</v>
      </c>
      <c r="AO55" s="1101">
        <v>0.29</v>
      </c>
      <c r="AP55" s="1102" t="s">
        <v>62</v>
      </c>
      <c r="AQ55" s="1103"/>
      <c r="AR55" s="661">
        <v>1</v>
      </c>
      <c r="AS55" s="446" t="s">
        <v>520</v>
      </c>
      <c r="AT55" s="101">
        <f>AU55*1.2</f>
        <v>2.19792</v>
      </c>
      <c r="AU55" s="137">
        <v>1.8316</v>
      </c>
      <c r="AV55" s="101">
        <v>15534.82</v>
      </c>
      <c r="AW55" s="137">
        <v>12945.68</v>
      </c>
      <c r="AX55" s="138">
        <v>45658</v>
      </c>
      <c r="AY55" s="139" t="s">
        <v>62</v>
      </c>
      <c r="AZ55" s="138">
        <v>46022</v>
      </c>
      <c r="BA55" s="139" t="s">
        <v>62</v>
      </c>
      <c r="BB55" s="1106"/>
      <c r="BC55" s="140" t="s">
        <v>503</v>
      </c>
      <c r="BE55" s="150"/>
      <c r="BF55" s="150" t="str">
        <f>IF(T55="","",T55)</f>
        <v/>
      </c>
      <c r="BG55" s="150"/>
      <c r="BH55" s="150"/>
      <c r="BI55" s="42">
        <v>0</v>
      </c>
    </row>
    <row r="56" customHeight="1" spans="1:61">
      <c r="A56" s="45"/>
      <c r="B56" s="45"/>
      <c r="C56" s="45"/>
      <c r="D56" s="45"/>
      <c r="E56" s="1039"/>
      <c r="F56" s="1039"/>
      <c r="G56" s="1039"/>
      <c r="H56" s="1039"/>
      <c r="I56" s="1044"/>
      <c r="J56" s="1044"/>
      <c r="K56" s="228"/>
      <c r="L56" s="1040"/>
      <c r="P56" s="92"/>
      <c r="Q56" s="92"/>
      <c r="R56" s="1055"/>
      <c r="S56" s="1058"/>
      <c r="T56" s="1059"/>
      <c r="U56" s="83"/>
      <c r="V56" s="1060"/>
      <c r="W56" s="1061"/>
      <c r="X56" s="1060"/>
      <c r="Y56" s="1061"/>
      <c r="Z56" s="1060"/>
      <c r="AA56" s="1060"/>
      <c r="AB56" s="1060"/>
      <c r="AC56" s="1060"/>
      <c r="AD56" s="474"/>
      <c r="AE56" s="1079"/>
      <c r="AF56" s="661"/>
      <c r="AG56" s="1092"/>
      <c r="AH56" s="139"/>
      <c r="AI56" s="1079"/>
      <c r="AJ56" s="661">
        <v>1</v>
      </c>
      <c r="AK56" s="1093"/>
      <c r="AL56" s="139"/>
      <c r="AM56" s="896"/>
      <c r="AN56" s="661"/>
      <c r="AO56" s="1101"/>
      <c r="AP56" s="1104"/>
      <c r="AQ56" s="330"/>
      <c r="AR56" s="331"/>
      <c r="AS56" s="331" t="s">
        <v>504</v>
      </c>
      <c r="AT56" s="1060"/>
      <c r="AU56" s="1061"/>
      <c r="AV56" s="1060"/>
      <c r="AW56" s="1061"/>
      <c r="AX56" s="1060"/>
      <c r="AY56" s="1060"/>
      <c r="AZ56" s="1060"/>
      <c r="BA56" s="1060"/>
      <c r="BB56" s="1107"/>
      <c r="BC56" s="143"/>
      <c r="BE56" s="150"/>
      <c r="BF56" s="150"/>
      <c r="BG56" s="150"/>
      <c r="BH56" s="150"/>
      <c r="BI56" s="42">
        <v>0</v>
      </c>
    </row>
    <row r="57" customHeight="1" spans="1:61">
      <c r="A57" s="45"/>
      <c r="B57" s="45"/>
      <c r="C57" s="45"/>
      <c r="D57" s="45"/>
      <c r="E57" s="1039"/>
      <c r="F57" s="1039"/>
      <c r="G57" s="1039"/>
      <c r="H57" s="1039"/>
      <c r="I57" s="1044"/>
      <c r="J57" s="1044"/>
      <c r="K57" s="228"/>
      <c r="L57" s="1040"/>
      <c r="P57" s="92"/>
      <c r="Q57" s="92"/>
      <c r="R57" s="1055"/>
      <c r="S57" s="1058"/>
      <c r="T57" s="1059"/>
      <c r="U57" s="83"/>
      <c r="V57" s="1060"/>
      <c r="W57" s="1061"/>
      <c r="X57" s="1060"/>
      <c r="Y57" s="1061"/>
      <c r="Z57" s="1060"/>
      <c r="AA57" s="1060"/>
      <c r="AB57" s="1060"/>
      <c r="AC57" s="1060"/>
      <c r="AD57" s="474"/>
      <c r="AE57" s="1079"/>
      <c r="AF57" s="661"/>
      <c r="AG57" s="1092"/>
      <c r="AH57" s="139"/>
      <c r="AI57" s="1079"/>
      <c r="AJ57" s="661">
        <v>1</v>
      </c>
      <c r="AK57" s="1093"/>
      <c r="AL57" s="139"/>
      <c r="AM57" s="330"/>
      <c r="AN57" s="598"/>
      <c r="AO57" s="598" t="s">
        <v>505</v>
      </c>
      <c r="AP57" s="331"/>
      <c r="AQ57" s="331"/>
      <c r="AR57" s="331"/>
      <c r="AS57" s="1060"/>
      <c r="AT57" s="1060"/>
      <c r="AU57" s="1061"/>
      <c r="AV57" s="1060"/>
      <c r="AW57" s="1061"/>
      <c r="AX57" s="1060"/>
      <c r="AY57" s="1060"/>
      <c r="AZ57" s="1060"/>
      <c r="BA57" s="1060"/>
      <c r="BB57" s="1107"/>
      <c r="BC57" s="143"/>
      <c r="BE57" s="150"/>
      <c r="BF57" s="150"/>
      <c r="BG57" s="150"/>
      <c r="BH57" s="150"/>
      <c r="BI57" s="42">
        <v>0</v>
      </c>
    </row>
    <row r="58" customHeight="1" spans="1:61">
      <c r="A58" s="45"/>
      <c r="B58" s="45"/>
      <c r="C58" s="45"/>
      <c r="D58" s="45"/>
      <c r="E58" s="1039"/>
      <c r="F58" s="1039"/>
      <c r="G58" s="1039"/>
      <c r="H58" s="1039"/>
      <c r="I58" s="1044"/>
      <c r="J58" s="1044"/>
      <c r="K58" s="228" t="str">
        <f>S54&amp;".1"</f>
        <v>.1</v>
      </c>
      <c r="L58" s="1040"/>
      <c r="P58" s="92"/>
      <c r="Q58" s="92"/>
      <c r="R58" s="1055">
        <v>1</v>
      </c>
      <c r="S58" s="1056" t="str">
        <f>$K58</f>
        <v>.1</v>
      </c>
      <c r="T58" s="1057"/>
      <c r="U58" s="83"/>
      <c r="V58" s="101"/>
      <c r="W58" s="137"/>
      <c r="X58" s="101"/>
      <c r="Y58" s="137"/>
      <c r="Z58" s="138"/>
      <c r="AA58" s="139" t="s">
        <v>62</v>
      </c>
      <c r="AB58" s="138"/>
      <c r="AC58" s="139" t="s">
        <v>62</v>
      </c>
      <c r="AD58" s="472" t="s">
        <v>62</v>
      </c>
      <c r="AE58" s="1079"/>
      <c r="AF58" s="661">
        <v>1</v>
      </c>
      <c r="AG58" s="1092"/>
      <c r="AH58" s="139" t="s">
        <v>62</v>
      </c>
      <c r="AI58" s="234" t="s">
        <v>521</v>
      </c>
      <c r="AJ58" s="661" t="s">
        <v>91</v>
      </c>
      <c r="AK58" s="1093" t="s">
        <v>523</v>
      </c>
      <c r="AL58" s="139" t="s">
        <v>62</v>
      </c>
      <c r="AM58" s="892"/>
      <c r="AN58" s="661">
        <v>1</v>
      </c>
      <c r="AO58" s="1101">
        <v>0.12</v>
      </c>
      <c r="AP58" s="1102" t="s">
        <v>62</v>
      </c>
      <c r="AQ58" s="1103"/>
      <c r="AR58" s="661">
        <v>1</v>
      </c>
      <c r="AS58" s="446" t="s">
        <v>520</v>
      </c>
      <c r="AT58" s="101">
        <f>AU58*1.2</f>
        <v>2.19792</v>
      </c>
      <c r="AU58" s="137">
        <v>1.8316</v>
      </c>
      <c r="AV58" s="101">
        <v>15534.82</v>
      </c>
      <c r="AW58" s="137">
        <v>12945.68</v>
      </c>
      <c r="AX58" s="138">
        <v>45658</v>
      </c>
      <c r="AY58" s="139" t="s">
        <v>62</v>
      </c>
      <c r="AZ58" s="138">
        <v>46022</v>
      </c>
      <c r="BA58" s="139" t="s">
        <v>62</v>
      </c>
      <c r="BB58" s="1106"/>
      <c r="BC58" s="140" t="s">
        <v>503</v>
      </c>
      <c r="BE58" s="150"/>
      <c r="BF58" s="150" t="str">
        <f>IF(T58="","",T58)</f>
        <v/>
      </c>
      <c r="BG58" s="150"/>
      <c r="BH58" s="150"/>
      <c r="BI58" s="42">
        <v>0</v>
      </c>
    </row>
    <row r="59" customHeight="1" spans="1:61">
      <c r="A59" s="45"/>
      <c r="B59" s="45"/>
      <c r="C59" s="45"/>
      <c r="D59" s="45"/>
      <c r="E59" s="1039"/>
      <c r="F59" s="1039"/>
      <c r="G59" s="1039"/>
      <c r="H59" s="1039"/>
      <c r="I59" s="1044"/>
      <c r="J59" s="1044"/>
      <c r="K59" s="228"/>
      <c r="L59" s="1040"/>
      <c r="P59" s="92"/>
      <c r="Q59" s="92"/>
      <c r="R59" s="1055"/>
      <c r="S59" s="1058"/>
      <c r="T59" s="1059"/>
      <c r="U59" s="83"/>
      <c r="V59" s="1060"/>
      <c r="W59" s="1061"/>
      <c r="X59" s="1060"/>
      <c r="Y59" s="1061"/>
      <c r="Z59" s="1060"/>
      <c r="AA59" s="1060"/>
      <c r="AB59" s="1060"/>
      <c r="AC59" s="1060"/>
      <c r="AD59" s="474"/>
      <c r="AE59" s="1079"/>
      <c r="AF59" s="661"/>
      <c r="AG59" s="1092"/>
      <c r="AH59" s="139"/>
      <c r="AI59" s="1079"/>
      <c r="AJ59" s="661" t="s">
        <v>112</v>
      </c>
      <c r="AK59" s="1093"/>
      <c r="AL59" s="139"/>
      <c r="AM59" s="896"/>
      <c r="AN59" s="661"/>
      <c r="AO59" s="1101"/>
      <c r="AP59" s="1104"/>
      <c r="AQ59" s="330"/>
      <c r="AR59" s="331"/>
      <c r="AS59" s="331" t="s">
        <v>504</v>
      </c>
      <c r="AT59" s="1060"/>
      <c r="AU59" s="1061"/>
      <c r="AV59" s="1060"/>
      <c r="AW59" s="1061"/>
      <c r="AX59" s="1060"/>
      <c r="AY59" s="1060"/>
      <c r="AZ59" s="1060"/>
      <c r="BA59" s="1060"/>
      <c r="BB59" s="1107"/>
      <c r="BC59" s="143"/>
      <c r="BE59" s="150"/>
      <c r="BF59" s="150"/>
      <c r="BG59" s="150"/>
      <c r="BH59" s="150"/>
      <c r="BI59" s="42">
        <v>0</v>
      </c>
    </row>
    <row r="60" customHeight="1" spans="1:61">
      <c r="A60" s="45"/>
      <c r="B60" s="45"/>
      <c r="C60" s="45"/>
      <c r="D60" s="45"/>
      <c r="E60" s="1039"/>
      <c r="F60" s="1039"/>
      <c r="G60" s="1039"/>
      <c r="H60" s="1039"/>
      <c r="I60" s="1044"/>
      <c r="J60" s="1044"/>
      <c r="K60" s="228"/>
      <c r="L60" s="1040"/>
      <c r="P60" s="92"/>
      <c r="Q60" s="92"/>
      <c r="R60" s="1055"/>
      <c r="S60" s="1058"/>
      <c r="T60" s="1059"/>
      <c r="U60" s="83"/>
      <c r="V60" s="1060"/>
      <c r="W60" s="1061"/>
      <c r="X60" s="1060"/>
      <c r="Y60" s="1061"/>
      <c r="Z60" s="1060"/>
      <c r="AA60" s="1060"/>
      <c r="AB60" s="1060"/>
      <c r="AC60" s="1060"/>
      <c r="AD60" s="474"/>
      <c r="AE60" s="1079"/>
      <c r="AF60" s="661"/>
      <c r="AG60" s="1092"/>
      <c r="AH60" s="139"/>
      <c r="AI60" s="1079"/>
      <c r="AJ60" s="661" t="s">
        <v>112</v>
      </c>
      <c r="AK60" s="1093"/>
      <c r="AL60" s="139"/>
      <c r="AM60" s="330"/>
      <c r="AN60" s="598"/>
      <c r="AO60" s="598" t="s">
        <v>505</v>
      </c>
      <c r="AP60" s="331"/>
      <c r="AQ60" s="331"/>
      <c r="AR60" s="331"/>
      <c r="AS60" s="1060"/>
      <c r="AT60" s="1060"/>
      <c r="AU60" s="1061"/>
      <c r="AV60" s="1060"/>
      <c r="AW60" s="1061"/>
      <c r="AX60" s="1060"/>
      <c r="AY60" s="1060"/>
      <c r="AZ60" s="1060"/>
      <c r="BA60" s="1060"/>
      <c r="BB60" s="1107"/>
      <c r="BC60" s="143"/>
      <c r="BE60" s="150"/>
      <c r="BF60" s="150"/>
      <c r="BG60" s="150"/>
      <c r="BH60" s="150"/>
      <c r="BI60" s="42">
        <v>0</v>
      </c>
    </row>
    <row r="61" customHeight="1" spans="1:61">
      <c r="A61" s="45"/>
      <c r="B61" s="45"/>
      <c r="C61" s="45"/>
      <c r="D61" s="45"/>
      <c r="E61" s="1039"/>
      <c r="F61" s="1039"/>
      <c r="G61" s="1039"/>
      <c r="H61" s="1039"/>
      <c r="I61" s="1044"/>
      <c r="J61" s="1044"/>
      <c r="K61" s="228" t="str">
        <f>S57&amp;".1"</f>
        <v>.1</v>
      </c>
      <c r="L61" s="1040"/>
      <c r="P61" s="92"/>
      <c r="Q61" s="92"/>
      <c r="R61" s="1055">
        <v>1</v>
      </c>
      <c r="S61" s="1056" t="str">
        <f>$K61</f>
        <v>.1</v>
      </c>
      <c r="T61" s="1057"/>
      <c r="U61" s="83"/>
      <c r="V61" s="101"/>
      <c r="W61" s="137"/>
      <c r="X61" s="101"/>
      <c r="Y61" s="137"/>
      <c r="Z61" s="138"/>
      <c r="AA61" s="139" t="s">
        <v>62</v>
      </c>
      <c r="AB61" s="138"/>
      <c r="AC61" s="139" t="s">
        <v>62</v>
      </c>
      <c r="AD61" s="472" t="s">
        <v>62</v>
      </c>
      <c r="AE61" s="1079"/>
      <c r="AF61" s="661">
        <v>1</v>
      </c>
      <c r="AG61" s="1092"/>
      <c r="AH61" s="139" t="s">
        <v>62</v>
      </c>
      <c r="AI61" s="234" t="s">
        <v>521</v>
      </c>
      <c r="AJ61" s="661" t="s">
        <v>92</v>
      </c>
      <c r="AK61" s="1093" t="s">
        <v>524</v>
      </c>
      <c r="AL61" s="139" t="s">
        <v>62</v>
      </c>
      <c r="AM61" s="892"/>
      <c r="AN61" s="661">
        <v>1</v>
      </c>
      <c r="AO61" s="1101">
        <v>0.11</v>
      </c>
      <c r="AP61" s="1102" t="s">
        <v>62</v>
      </c>
      <c r="AQ61" s="1103"/>
      <c r="AR61" s="661">
        <v>1</v>
      </c>
      <c r="AS61" s="446" t="s">
        <v>520</v>
      </c>
      <c r="AT61" s="101">
        <f>AU61*1.2</f>
        <v>2.19792</v>
      </c>
      <c r="AU61" s="137">
        <v>1.8316</v>
      </c>
      <c r="AV61" s="101">
        <v>15534.82</v>
      </c>
      <c r="AW61" s="137">
        <v>12945.68</v>
      </c>
      <c r="AX61" s="138">
        <v>45658</v>
      </c>
      <c r="AY61" s="139" t="s">
        <v>62</v>
      </c>
      <c r="AZ61" s="138">
        <v>46022</v>
      </c>
      <c r="BA61" s="139" t="s">
        <v>62</v>
      </c>
      <c r="BB61" s="1106"/>
      <c r="BC61" s="140" t="s">
        <v>503</v>
      </c>
      <c r="BE61" s="150"/>
      <c r="BF61" s="150" t="str">
        <f>IF(T61="","",T61)</f>
        <v/>
      </c>
      <c r="BG61" s="150"/>
      <c r="BH61" s="150"/>
      <c r="BI61" s="42">
        <v>0</v>
      </c>
    </row>
    <row r="62" customHeight="1" spans="1:61">
      <c r="A62" s="45"/>
      <c r="B62" s="45"/>
      <c r="C62" s="45"/>
      <c r="D62" s="45"/>
      <c r="E62" s="1039"/>
      <c r="F62" s="1039"/>
      <c r="G62" s="1039"/>
      <c r="H62" s="1039"/>
      <c r="I62" s="1044"/>
      <c r="J62" s="1044"/>
      <c r="K62" s="228"/>
      <c r="L62" s="1040"/>
      <c r="P62" s="92"/>
      <c r="Q62" s="92"/>
      <c r="R62" s="1055"/>
      <c r="S62" s="1058"/>
      <c r="T62" s="1059"/>
      <c r="U62" s="83"/>
      <c r="V62" s="1060"/>
      <c r="W62" s="1061"/>
      <c r="X62" s="1060"/>
      <c r="Y62" s="1061"/>
      <c r="Z62" s="1060"/>
      <c r="AA62" s="1060"/>
      <c r="AB62" s="1060"/>
      <c r="AC62" s="1060"/>
      <c r="AD62" s="474"/>
      <c r="AE62" s="1079"/>
      <c r="AF62" s="661"/>
      <c r="AG62" s="1092"/>
      <c r="AH62" s="139"/>
      <c r="AI62" s="1079"/>
      <c r="AJ62" s="661" t="s">
        <v>91</v>
      </c>
      <c r="AK62" s="1093"/>
      <c r="AL62" s="139"/>
      <c r="AM62" s="896"/>
      <c r="AN62" s="661"/>
      <c r="AO62" s="1101"/>
      <c r="AP62" s="1104"/>
      <c r="AQ62" s="330"/>
      <c r="AR62" s="331"/>
      <c r="AS62" s="331" t="s">
        <v>504</v>
      </c>
      <c r="AT62" s="1060"/>
      <c r="AU62" s="1061"/>
      <c r="AV62" s="1060"/>
      <c r="AW62" s="1061"/>
      <c r="AX62" s="1060"/>
      <c r="AY62" s="1060"/>
      <c r="AZ62" s="1060"/>
      <c r="BA62" s="1060"/>
      <c r="BB62" s="1107"/>
      <c r="BC62" s="143"/>
      <c r="BE62" s="150"/>
      <c r="BF62" s="150"/>
      <c r="BG62" s="150"/>
      <c r="BH62" s="150"/>
      <c r="BI62" s="42">
        <v>0</v>
      </c>
    </row>
    <row r="63" customHeight="1" spans="1:61">
      <c r="A63" s="45"/>
      <c r="B63" s="45"/>
      <c r="C63" s="45"/>
      <c r="D63" s="45"/>
      <c r="E63" s="1039"/>
      <c r="F63" s="1039"/>
      <c r="G63" s="1039"/>
      <c r="H63" s="1039"/>
      <c r="I63" s="1044"/>
      <c r="J63" s="1044"/>
      <c r="K63" s="228"/>
      <c r="L63" s="1040"/>
      <c r="P63" s="92"/>
      <c r="Q63" s="92"/>
      <c r="R63" s="1055"/>
      <c r="S63" s="1058"/>
      <c r="T63" s="1059"/>
      <c r="U63" s="83"/>
      <c r="V63" s="1060"/>
      <c r="W63" s="1061"/>
      <c r="X63" s="1060"/>
      <c r="Y63" s="1061"/>
      <c r="Z63" s="1060"/>
      <c r="AA63" s="1060"/>
      <c r="AB63" s="1060"/>
      <c r="AC63" s="1060"/>
      <c r="AD63" s="474"/>
      <c r="AE63" s="1079"/>
      <c r="AF63" s="661"/>
      <c r="AG63" s="1092"/>
      <c r="AH63" s="139"/>
      <c r="AI63" s="1079"/>
      <c r="AJ63" s="661" t="s">
        <v>91</v>
      </c>
      <c r="AK63" s="1093"/>
      <c r="AL63" s="139"/>
      <c r="AM63" s="330"/>
      <c r="AN63" s="598"/>
      <c r="AO63" s="598" t="s">
        <v>505</v>
      </c>
      <c r="AP63" s="331"/>
      <c r="AQ63" s="331"/>
      <c r="AR63" s="331"/>
      <c r="AS63" s="1060"/>
      <c r="AT63" s="1060"/>
      <c r="AU63" s="1061"/>
      <c r="AV63" s="1060"/>
      <c r="AW63" s="1061"/>
      <c r="AX63" s="1060"/>
      <c r="AY63" s="1060"/>
      <c r="AZ63" s="1060"/>
      <c r="BA63" s="1060"/>
      <c r="BB63" s="1107"/>
      <c r="BC63" s="143"/>
      <c r="BE63" s="150"/>
      <c r="BF63" s="150"/>
      <c r="BG63" s="150"/>
      <c r="BH63" s="150"/>
      <c r="BI63" s="42">
        <v>0</v>
      </c>
    </row>
    <row r="64" customHeight="1" spans="1:61">
      <c r="A64" s="45"/>
      <c r="B64" s="45"/>
      <c r="C64" s="45"/>
      <c r="D64" s="45"/>
      <c r="E64" s="1039"/>
      <c r="F64" s="1039"/>
      <c r="G64" s="1039"/>
      <c r="H64" s="1039"/>
      <c r="I64" s="1044"/>
      <c r="J64" s="1044"/>
      <c r="K64" s="228" t="str">
        <f>S60&amp;".1"</f>
        <v>.1</v>
      </c>
      <c r="L64" s="1040"/>
      <c r="P64" s="92"/>
      <c r="Q64" s="92"/>
      <c r="R64" s="1055">
        <v>1</v>
      </c>
      <c r="S64" s="1056" t="str">
        <f>$K64</f>
        <v>.1</v>
      </c>
      <c r="T64" s="1057"/>
      <c r="U64" s="83"/>
      <c r="V64" s="101"/>
      <c r="W64" s="137"/>
      <c r="X64" s="101"/>
      <c r="Y64" s="137"/>
      <c r="Z64" s="138"/>
      <c r="AA64" s="139" t="s">
        <v>62</v>
      </c>
      <c r="AB64" s="138"/>
      <c r="AC64" s="139" t="s">
        <v>62</v>
      </c>
      <c r="AD64" s="472" t="s">
        <v>62</v>
      </c>
      <c r="AE64" s="1079"/>
      <c r="AF64" s="661">
        <v>1</v>
      </c>
      <c r="AG64" s="1092"/>
      <c r="AH64" s="139" t="s">
        <v>62</v>
      </c>
      <c r="AI64" s="234" t="s">
        <v>521</v>
      </c>
      <c r="AJ64" s="661" t="s">
        <v>113</v>
      </c>
      <c r="AK64" s="1093" t="s">
        <v>525</v>
      </c>
      <c r="AL64" s="139" t="s">
        <v>62</v>
      </c>
      <c r="AM64" s="892"/>
      <c r="AN64" s="661">
        <v>1</v>
      </c>
      <c r="AO64" s="1101">
        <v>0.66</v>
      </c>
      <c r="AP64" s="1102" t="s">
        <v>62</v>
      </c>
      <c r="AQ64" s="1103"/>
      <c r="AR64" s="661">
        <v>1</v>
      </c>
      <c r="AS64" s="446" t="s">
        <v>520</v>
      </c>
      <c r="AT64" s="101">
        <f>AU64*1.2</f>
        <v>2.19792</v>
      </c>
      <c r="AU64" s="137">
        <v>1.8316</v>
      </c>
      <c r="AV64" s="101">
        <v>15534.82</v>
      </c>
      <c r="AW64" s="137">
        <v>12945.68</v>
      </c>
      <c r="AX64" s="138">
        <v>45658</v>
      </c>
      <c r="AY64" s="139" t="s">
        <v>62</v>
      </c>
      <c r="AZ64" s="138">
        <v>46022</v>
      </c>
      <c r="BA64" s="139" t="s">
        <v>62</v>
      </c>
      <c r="BB64" s="1106"/>
      <c r="BC64" s="140" t="s">
        <v>503</v>
      </c>
      <c r="BE64" s="150"/>
      <c r="BF64" s="150" t="str">
        <f>IF(T64="","",T64)</f>
        <v/>
      </c>
      <c r="BG64" s="150"/>
      <c r="BH64" s="150"/>
      <c r="BI64" s="42">
        <v>0</v>
      </c>
    </row>
    <row r="65" customHeight="1" spans="1:61">
      <c r="A65" s="45"/>
      <c r="B65" s="45"/>
      <c r="C65" s="45"/>
      <c r="D65" s="45"/>
      <c r="E65" s="1039"/>
      <c r="F65" s="1039"/>
      <c r="G65" s="1039"/>
      <c r="H65" s="1039"/>
      <c r="I65" s="1044"/>
      <c r="J65" s="1044"/>
      <c r="K65" s="228"/>
      <c r="L65" s="1040"/>
      <c r="P65" s="92"/>
      <c r="Q65" s="92"/>
      <c r="R65" s="1055"/>
      <c r="S65" s="1058"/>
      <c r="T65" s="1059"/>
      <c r="U65" s="83"/>
      <c r="V65" s="1060"/>
      <c r="W65" s="1061"/>
      <c r="X65" s="1060"/>
      <c r="Y65" s="1061"/>
      <c r="Z65" s="1060"/>
      <c r="AA65" s="1060"/>
      <c r="AB65" s="1060"/>
      <c r="AC65" s="1060"/>
      <c r="AD65" s="474"/>
      <c r="AE65" s="1079"/>
      <c r="AF65" s="661"/>
      <c r="AG65" s="1092"/>
      <c r="AH65" s="139"/>
      <c r="AI65" s="1079"/>
      <c r="AJ65" s="661" t="s">
        <v>92</v>
      </c>
      <c r="AK65" s="1093"/>
      <c r="AL65" s="139"/>
      <c r="AM65" s="896"/>
      <c r="AN65" s="661"/>
      <c r="AO65" s="1101"/>
      <c r="AP65" s="1104"/>
      <c r="AQ65" s="330"/>
      <c r="AR65" s="331"/>
      <c r="AS65" s="331" t="s">
        <v>504</v>
      </c>
      <c r="AT65" s="1060"/>
      <c r="AU65" s="1061"/>
      <c r="AV65" s="1060"/>
      <c r="AW65" s="1061"/>
      <c r="AX65" s="1060"/>
      <c r="AY65" s="1060"/>
      <c r="AZ65" s="1060"/>
      <c r="BA65" s="1060"/>
      <c r="BB65" s="1107"/>
      <c r="BC65" s="143"/>
      <c r="BE65" s="150"/>
      <c r="BF65" s="150"/>
      <c r="BG65" s="150"/>
      <c r="BH65" s="150"/>
      <c r="BI65" s="42">
        <v>0</v>
      </c>
    </row>
    <row r="66" customHeight="1" spans="1:61">
      <c r="A66" s="45"/>
      <c r="B66" s="45"/>
      <c r="C66" s="45"/>
      <c r="D66" s="45"/>
      <c r="E66" s="1039"/>
      <c r="F66" s="1039"/>
      <c r="G66" s="1039"/>
      <c r="H66" s="1039"/>
      <c r="I66" s="1044"/>
      <c r="J66" s="1044"/>
      <c r="K66" s="228"/>
      <c r="L66" s="1040"/>
      <c r="P66" s="92"/>
      <c r="Q66" s="92"/>
      <c r="R66" s="1055"/>
      <c r="S66" s="1058"/>
      <c r="T66" s="1059"/>
      <c r="U66" s="83"/>
      <c r="V66" s="1060"/>
      <c r="W66" s="1061"/>
      <c r="X66" s="1060"/>
      <c r="Y66" s="1061"/>
      <c r="Z66" s="1060"/>
      <c r="AA66" s="1060"/>
      <c r="AB66" s="1060"/>
      <c r="AC66" s="1060"/>
      <c r="AD66" s="474"/>
      <c r="AE66" s="1079"/>
      <c r="AF66" s="661"/>
      <c r="AG66" s="1092"/>
      <c r="AH66" s="139"/>
      <c r="AI66" s="1079"/>
      <c r="AJ66" s="661" t="s">
        <v>92</v>
      </c>
      <c r="AK66" s="1093"/>
      <c r="AL66" s="139"/>
      <c r="AM66" s="330"/>
      <c r="AN66" s="598"/>
      <c r="AO66" s="598" t="s">
        <v>505</v>
      </c>
      <c r="AP66" s="331"/>
      <c r="AQ66" s="331"/>
      <c r="AR66" s="331"/>
      <c r="AS66" s="1060"/>
      <c r="AT66" s="1060"/>
      <c r="AU66" s="1061"/>
      <c r="AV66" s="1060"/>
      <c r="AW66" s="1061"/>
      <c r="AX66" s="1060"/>
      <c r="AY66" s="1060"/>
      <c r="AZ66" s="1060"/>
      <c r="BA66" s="1060"/>
      <c r="BB66" s="1107"/>
      <c r="BC66" s="143"/>
      <c r="BE66" s="150"/>
      <c r="BF66" s="150"/>
      <c r="BG66" s="150"/>
      <c r="BH66" s="150"/>
      <c r="BI66" s="42">
        <v>0</v>
      </c>
    </row>
    <row r="67" ht="11.55" customHeight="1" spans="1:61">
      <c r="A67" s="45" t="s">
        <v>248</v>
      </c>
      <c r="B67" s="45"/>
      <c r="C67" s="45"/>
      <c r="D67" s="45"/>
      <c r="E67" s="1039"/>
      <c r="F67" s="1039"/>
      <c r="G67" s="1039"/>
      <c r="H67" s="1039"/>
      <c r="I67" s="1044"/>
      <c r="J67" s="1044"/>
      <c r="K67" s="228"/>
      <c r="L67" s="1040"/>
      <c r="P67" s="92"/>
      <c r="Q67" s="92"/>
      <c r="R67" s="96"/>
      <c r="S67" s="1058"/>
      <c r="T67" s="1059"/>
      <c r="U67" s="83"/>
      <c r="V67" s="1060"/>
      <c r="W67" s="1061"/>
      <c r="X67" s="1060"/>
      <c r="Y67" s="1061"/>
      <c r="Z67" s="1060"/>
      <c r="AA67" s="1060"/>
      <c r="AB67" s="1060"/>
      <c r="AC67" s="1060"/>
      <c r="AD67" s="474"/>
      <c r="AE67" s="1079"/>
      <c r="AF67" s="661"/>
      <c r="AG67" s="1092"/>
      <c r="AH67" s="139"/>
      <c r="AI67" s="900"/>
      <c r="AJ67" s="226"/>
      <c r="AK67" s="1094" t="s">
        <v>506</v>
      </c>
      <c r="AL67" s="1060"/>
      <c r="AM67" s="1060"/>
      <c r="AN67" s="1060"/>
      <c r="AO67" s="1060"/>
      <c r="AP67" s="1060"/>
      <c r="AQ67" s="1060"/>
      <c r="AR67" s="1060"/>
      <c r="AS67" s="1060"/>
      <c r="AT67" s="1060"/>
      <c r="AU67" s="1061"/>
      <c r="AV67" s="1060"/>
      <c r="AW67" s="1061"/>
      <c r="AX67" s="1060"/>
      <c r="AY67" s="1060"/>
      <c r="AZ67" s="1060"/>
      <c r="BA67" s="1060"/>
      <c r="BB67" s="1107"/>
      <c r="BC67" s="143"/>
      <c r="BE67" s="150"/>
      <c r="BF67" s="150"/>
      <c r="BG67" s="150"/>
      <c r="BH67" s="150"/>
      <c r="BI67" s="42">
        <v>11</v>
      </c>
    </row>
    <row r="68" ht="11.55" customHeight="1" spans="1:61">
      <c r="A68" s="45" t="s">
        <v>248</v>
      </c>
      <c r="B68" s="45" t="s">
        <v>249</v>
      </c>
      <c r="C68" s="45" t="s">
        <v>250</v>
      </c>
      <c r="D68" s="45" t="s">
        <v>517</v>
      </c>
      <c r="E68" s="1039"/>
      <c r="F68" s="1039"/>
      <c r="G68" s="1039"/>
      <c r="H68" s="1039"/>
      <c r="I68" s="1044"/>
      <c r="J68" s="1044"/>
      <c r="K68" s="228"/>
      <c r="L68" s="1040"/>
      <c r="P68" s="92"/>
      <c r="Q68" s="92"/>
      <c r="R68" s="96"/>
      <c r="S68" s="1062"/>
      <c r="T68" s="1063"/>
      <c r="U68" s="83"/>
      <c r="V68" s="1060"/>
      <c r="W68" s="1064" t="str">
        <f>Z52&amp;"-"&amp;AB52</f>
        <v>-</v>
      </c>
      <c r="X68" s="1060"/>
      <c r="Y68" s="1064" t="str">
        <f>AB52&amp;"-"&amp;AD52</f>
        <v>-да</v>
      </c>
      <c r="Z68" s="1060"/>
      <c r="AA68" s="1060"/>
      <c r="AB68" s="1060"/>
      <c r="AC68" s="1060"/>
      <c r="AD68" s="477"/>
      <c r="AE68" s="1080"/>
      <c r="AF68" s="1081"/>
      <c r="AG68" s="331" t="s">
        <v>507</v>
      </c>
      <c r="AH68" s="1060"/>
      <c r="AI68" s="1060"/>
      <c r="AJ68" s="1060"/>
      <c r="AK68" s="1060"/>
      <c r="AL68" s="1060"/>
      <c r="AM68" s="1060"/>
      <c r="AN68" s="1060"/>
      <c r="AO68" s="1060"/>
      <c r="AP68" s="1060"/>
      <c r="AQ68" s="1060"/>
      <c r="AR68" s="1060"/>
      <c r="AS68" s="1060"/>
      <c r="AT68" s="1060"/>
      <c r="AU68" s="1064" t="str">
        <f>AX52&amp;"-"&amp;AZ52</f>
        <v>45658-46022</v>
      </c>
      <c r="AV68" s="1060"/>
      <c r="AW68" s="1064" t="str">
        <f>AZ52&amp;"-"&amp;BB52</f>
        <v>46022-</v>
      </c>
      <c r="AX68" s="1060"/>
      <c r="AY68" s="1060"/>
      <c r="AZ68" s="1060"/>
      <c r="BA68" s="1060"/>
      <c r="BB68" s="1108" t="str">
        <f>BE52&amp;"-"&amp;BG52</f>
        <v>-</v>
      </c>
      <c r="BC68" s="143"/>
      <c r="BE68" s="150"/>
      <c r="BF68" s="150" t="str">
        <f t="shared" ref="BF68:BF75" si="4">IF(T68="","",T68)</f>
        <v/>
      </c>
      <c r="BG68" s="150"/>
      <c r="BH68" s="150"/>
      <c r="BI68" s="42">
        <v>11</v>
      </c>
    </row>
    <row r="69" ht="11.55" customHeight="1" spans="1:61">
      <c r="A69" s="45" t="s">
        <v>248</v>
      </c>
      <c r="B69" s="45" t="s">
        <v>249</v>
      </c>
      <c r="C69" s="45" t="s">
        <v>250</v>
      </c>
      <c r="D69" s="45" t="s">
        <v>517</v>
      </c>
      <c r="E69" s="1039"/>
      <c r="F69" s="1039"/>
      <c r="G69" s="1039"/>
      <c r="H69" s="1039"/>
      <c r="I69" s="1044"/>
      <c r="J69" s="228"/>
      <c r="K69" s="45"/>
      <c r="L69" s="1040"/>
      <c r="P69" s="92"/>
      <c r="Q69" s="92"/>
      <c r="R69" s="93"/>
      <c r="S69" s="104"/>
      <c r="T69" s="107" t="s">
        <v>470</v>
      </c>
      <c r="U69" s="106"/>
      <c r="V69" s="106"/>
      <c r="W69" s="106"/>
      <c r="X69" s="106"/>
      <c r="Y69" s="106"/>
      <c r="Z69" s="106"/>
      <c r="AA69" s="106"/>
      <c r="AB69" s="106"/>
      <c r="AC69" s="144"/>
      <c r="AD69" s="1082"/>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44"/>
      <c r="BC69" s="145"/>
      <c r="BE69" s="150"/>
      <c r="BF69" s="150" t="str">
        <f t="shared" si="4"/>
        <v>Добавить строку</v>
      </c>
      <c r="BG69" s="150"/>
      <c r="BH69" s="150"/>
      <c r="BI69" s="42">
        <v>11</v>
      </c>
    </row>
    <row r="70" s="43" customFormat="1" hidden="1" customHeight="1" spans="1:61">
      <c r="A70" s="587" t="s">
        <v>248</v>
      </c>
      <c r="B70" s="587" t="s">
        <v>249</v>
      </c>
      <c r="C70" s="587" t="s">
        <v>250</v>
      </c>
      <c r="D70" s="587" t="s">
        <v>517</v>
      </c>
      <c r="E70" s="1039"/>
      <c r="F70" s="1039"/>
      <c r="G70" s="1039"/>
      <c r="H70" s="1039"/>
      <c r="I70" s="228"/>
      <c r="J70" s="587"/>
      <c r="K70" s="587"/>
      <c r="L70" s="608"/>
      <c r="M70" s="1043"/>
      <c r="N70" s="1043"/>
      <c r="O70" s="1043"/>
      <c r="P70" s="92"/>
      <c r="Q70" s="92"/>
      <c r="R70" s="93"/>
      <c r="S70" s="1065"/>
      <c r="T70" s="1066"/>
      <c r="U70" s="1067"/>
      <c r="V70" s="1067"/>
      <c r="W70" s="1067"/>
      <c r="X70" s="1067"/>
      <c r="Y70" s="1067"/>
      <c r="Z70" s="1067"/>
      <c r="AA70" s="1067"/>
      <c r="AB70" s="1067"/>
      <c r="AC70" s="1067"/>
      <c r="AD70" s="1067"/>
      <c r="AE70" s="1067"/>
      <c r="AF70" s="1067"/>
      <c r="AG70" s="1067"/>
      <c r="AH70" s="1067"/>
      <c r="AI70" s="1067"/>
      <c r="AJ70" s="1067"/>
      <c r="AK70" s="1067"/>
      <c r="AL70" s="1067"/>
      <c r="AM70" s="1067"/>
      <c r="AN70" s="1067"/>
      <c r="AO70" s="1067"/>
      <c r="AP70" s="1067"/>
      <c r="AQ70" s="1067"/>
      <c r="AR70" s="1067"/>
      <c r="AS70" s="1067"/>
      <c r="AT70" s="1067"/>
      <c r="AU70" s="1067"/>
      <c r="AV70" s="1067"/>
      <c r="AW70" s="1067"/>
      <c r="AX70" s="1067"/>
      <c r="AY70" s="1067"/>
      <c r="AZ70" s="1067"/>
      <c r="BA70" s="1067"/>
      <c r="BB70" s="1067"/>
      <c r="BC70" s="1109"/>
      <c r="BE70" s="150"/>
      <c r="BF70" s="150" t="str">
        <f t="shared" si="4"/>
        <v/>
      </c>
      <c r="BG70" s="150"/>
      <c r="BH70" s="150"/>
      <c r="BI70" s="43">
        <v>0</v>
      </c>
    </row>
    <row r="71" s="43" customFormat="1" hidden="1" customHeight="1" spans="1:61">
      <c r="A71" s="587" t="s">
        <v>248</v>
      </c>
      <c r="B71" s="587" t="s">
        <v>249</v>
      </c>
      <c r="C71" s="587" t="s">
        <v>250</v>
      </c>
      <c r="D71" s="587" t="s">
        <v>517</v>
      </c>
      <c r="E71" s="1039"/>
      <c r="F71" s="1039"/>
      <c r="G71" s="1039"/>
      <c r="H71" s="1038"/>
      <c r="I71" s="587"/>
      <c r="J71" s="587"/>
      <c r="K71" s="587"/>
      <c r="L71" s="608"/>
      <c r="M71" s="282"/>
      <c r="N71" s="282"/>
      <c r="P71" s="151"/>
      <c r="Q71" s="1068"/>
      <c r="R71" s="1069"/>
      <c r="S71" s="1065"/>
      <c r="T71" s="1066"/>
      <c r="U71" s="1067"/>
      <c r="V71" s="1067"/>
      <c r="W71" s="1067"/>
      <c r="X71" s="1067"/>
      <c r="Y71" s="1067"/>
      <c r="Z71" s="1067"/>
      <c r="AA71" s="1067"/>
      <c r="AB71" s="1067"/>
      <c r="AC71" s="1067"/>
      <c r="AD71" s="1067"/>
      <c r="AE71" s="1067"/>
      <c r="AF71" s="1067"/>
      <c r="AG71" s="1067"/>
      <c r="AH71" s="1067"/>
      <c r="AI71" s="1067"/>
      <c r="AJ71" s="1067"/>
      <c r="AK71" s="1067"/>
      <c r="AL71" s="1067"/>
      <c r="AM71" s="1067"/>
      <c r="AN71" s="1067"/>
      <c r="AO71" s="1067"/>
      <c r="AP71" s="1067"/>
      <c r="AQ71" s="1067"/>
      <c r="AR71" s="1067"/>
      <c r="AS71" s="1067"/>
      <c r="AT71" s="1067"/>
      <c r="AU71" s="1067"/>
      <c r="AV71" s="1067"/>
      <c r="AW71" s="1067"/>
      <c r="AX71" s="1067"/>
      <c r="AY71" s="1067"/>
      <c r="AZ71" s="1067"/>
      <c r="BA71" s="1067"/>
      <c r="BB71" s="1067"/>
      <c r="BC71" s="1109"/>
      <c r="BE71" s="150"/>
      <c r="BF71" s="150" t="str">
        <f t="shared" si="4"/>
        <v/>
      </c>
      <c r="BG71" s="150"/>
      <c r="BH71" s="150"/>
      <c r="BI71" s="43">
        <v>0</v>
      </c>
    </row>
    <row r="72" s="43" customFormat="1" hidden="1" customHeight="1" spans="1:61">
      <c r="A72" s="587" t="s">
        <v>248</v>
      </c>
      <c r="B72" s="587" t="s">
        <v>249</v>
      </c>
      <c r="C72" s="587" t="s">
        <v>250</v>
      </c>
      <c r="D72" s="587"/>
      <c r="E72" s="1039"/>
      <c r="F72" s="1039"/>
      <c r="G72" s="1038"/>
      <c r="H72" s="587"/>
      <c r="I72" s="587"/>
      <c r="J72" s="587"/>
      <c r="K72" s="587"/>
      <c r="L72" s="608"/>
      <c r="M72" s="282"/>
      <c r="N72" s="282"/>
      <c r="P72" s="151"/>
      <c r="Q72" s="1068"/>
      <c r="R72" s="151"/>
      <c r="S72" s="1070"/>
      <c r="T72" s="1071"/>
      <c r="U72" s="306"/>
      <c r="V72" s="306"/>
      <c r="W72" s="306"/>
      <c r="X72" s="306"/>
      <c r="Y72" s="306"/>
      <c r="Z72" s="306"/>
      <c r="AA72" s="306"/>
      <c r="AB72" s="306"/>
      <c r="AC72" s="306"/>
      <c r="AD72" s="306"/>
      <c r="AE72" s="306"/>
      <c r="AF72" s="306"/>
      <c r="AG72" s="306"/>
      <c r="AH72" s="306"/>
      <c r="AI72" s="306"/>
      <c r="AJ72" s="306"/>
      <c r="AK72" s="306"/>
      <c r="AL72" s="306"/>
      <c r="AM72" s="306"/>
      <c r="AN72" s="306"/>
      <c r="AO72" s="306"/>
      <c r="AP72" s="306"/>
      <c r="AQ72" s="306"/>
      <c r="AR72" s="306"/>
      <c r="AS72" s="306"/>
      <c r="AT72" s="306"/>
      <c r="AU72" s="306"/>
      <c r="AV72" s="306"/>
      <c r="AW72" s="306"/>
      <c r="AX72" s="306"/>
      <c r="AY72" s="306"/>
      <c r="AZ72" s="306"/>
      <c r="BA72" s="306"/>
      <c r="BB72" s="306"/>
      <c r="BC72" s="306"/>
      <c r="BE72" s="150"/>
      <c r="BF72" s="150" t="str">
        <f t="shared" si="4"/>
        <v/>
      </c>
      <c r="BG72" s="150"/>
      <c r="BH72" s="150"/>
      <c r="BI72" s="43">
        <v>0</v>
      </c>
    </row>
    <row r="73" s="43" customFormat="1" hidden="1" customHeight="1" spans="1:61">
      <c r="A73" s="587" t="s">
        <v>248</v>
      </c>
      <c r="B73" s="587" t="s">
        <v>249</v>
      </c>
      <c r="C73" s="587"/>
      <c r="D73" s="587"/>
      <c r="E73" s="1039"/>
      <c r="F73" s="1038"/>
      <c r="G73" s="587"/>
      <c r="H73" s="587"/>
      <c r="I73" s="587"/>
      <c r="J73" s="587"/>
      <c r="K73" s="587"/>
      <c r="L73" s="608"/>
      <c r="M73" s="1045"/>
      <c r="N73" s="1045"/>
      <c r="P73" s="151"/>
      <c r="Q73" s="1068"/>
      <c r="R73" s="151"/>
      <c r="S73" s="1070"/>
      <c r="T73" s="1071" t="s">
        <v>251</v>
      </c>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V73" s="306"/>
      <c r="AW73" s="306"/>
      <c r="AX73" s="306"/>
      <c r="AY73" s="306"/>
      <c r="AZ73" s="306"/>
      <c r="BA73" s="306"/>
      <c r="BB73" s="306"/>
      <c r="BC73" s="306"/>
      <c r="BE73" s="150"/>
      <c r="BF73" s="150" t="str">
        <f t="shared" si="4"/>
        <v>Добавить централизованную систему для дифференциации</v>
      </c>
      <c r="BG73" s="150"/>
      <c r="BH73" s="150"/>
      <c r="BI73" s="43">
        <v>0</v>
      </c>
    </row>
    <row r="74" s="43" customFormat="1" hidden="1" customHeight="1" spans="1:61">
      <c r="A74" s="587" t="s">
        <v>248</v>
      </c>
      <c r="B74" s="587"/>
      <c r="C74" s="587"/>
      <c r="D74" s="587"/>
      <c r="E74" s="1038"/>
      <c r="F74" s="587"/>
      <c r="G74" s="587"/>
      <c r="H74" s="587"/>
      <c r="I74" s="587"/>
      <c r="J74" s="587"/>
      <c r="K74" s="587"/>
      <c r="L74" s="608"/>
      <c r="M74" s="1045"/>
      <c r="N74" s="1045"/>
      <c r="P74" s="151"/>
      <c r="Q74" s="1068"/>
      <c r="R74" s="151"/>
      <c r="S74" s="1070"/>
      <c r="T74" s="1071" t="s">
        <v>252</v>
      </c>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V74" s="306"/>
      <c r="AW74" s="306"/>
      <c r="AX74" s="306"/>
      <c r="AY74" s="306"/>
      <c r="AZ74" s="306"/>
      <c r="BA74" s="306"/>
      <c r="BB74" s="306"/>
      <c r="BC74" s="306"/>
      <c r="BE74" s="150"/>
      <c r="BF74" s="150" t="str">
        <f t="shared" si="4"/>
        <v>Добавить территорию для дифференциации</v>
      </c>
      <c r="BG74" s="150"/>
      <c r="BH74" s="150"/>
      <c r="BI74" s="43">
        <v>0</v>
      </c>
    </row>
    <row r="75" s="43" customFormat="1" hidden="1" customHeight="1" spans="1:61">
      <c r="A75" s="587"/>
      <c r="B75" s="587"/>
      <c r="C75" s="587"/>
      <c r="D75" s="587"/>
      <c r="E75" s="587"/>
      <c r="F75" s="587"/>
      <c r="G75" s="587"/>
      <c r="H75" s="587"/>
      <c r="I75" s="587"/>
      <c r="J75" s="587"/>
      <c r="K75" s="587"/>
      <c r="L75" s="608"/>
      <c r="M75" s="1045"/>
      <c r="N75" s="1045"/>
      <c r="P75" s="151"/>
      <c r="Q75" s="1068"/>
      <c r="R75" s="151"/>
      <c r="S75" s="1070"/>
      <c r="T75" s="1071" t="s">
        <v>253</v>
      </c>
      <c r="U75" s="306"/>
      <c r="V75" s="306"/>
      <c r="W75" s="306"/>
      <c r="X75" s="306"/>
      <c r="Y75" s="306"/>
      <c r="Z75" s="306"/>
      <c r="AA75" s="306"/>
      <c r="AB75" s="306"/>
      <c r="AC75" s="306"/>
      <c r="AD75" s="306"/>
      <c r="AE75" s="306"/>
      <c r="AF75" s="306"/>
      <c r="AG75" s="306"/>
      <c r="AH75" s="306"/>
      <c r="AI75" s="306"/>
      <c r="AJ75" s="306"/>
      <c r="AK75" s="306"/>
      <c r="AL75" s="306"/>
      <c r="AM75" s="306"/>
      <c r="AN75" s="306"/>
      <c r="AO75" s="306"/>
      <c r="AP75" s="306"/>
      <c r="AQ75" s="306"/>
      <c r="AR75" s="306"/>
      <c r="AS75" s="306"/>
      <c r="AT75" s="306"/>
      <c r="AU75" s="306"/>
      <c r="AV75" s="306"/>
      <c r="AW75" s="306"/>
      <c r="AX75" s="306"/>
      <c r="AY75" s="306"/>
      <c r="AZ75" s="306"/>
      <c r="BA75" s="306"/>
      <c r="BB75" s="306"/>
      <c r="BC75" s="306"/>
      <c r="BE75" s="150"/>
      <c r="BF75" s="150" t="str">
        <f t="shared" si="4"/>
        <v>Добавить наименование тарифа</v>
      </c>
      <c r="BG75" s="150"/>
      <c r="BH75" s="150"/>
      <c r="BI75" s="43">
        <v>0</v>
      </c>
    </row>
    <row r="76" ht="11.55" customHeight="1" spans="13:61">
      <c r="M76" s="37"/>
      <c r="N76" s="37"/>
      <c r="O76" s="37"/>
      <c r="P76" s="37"/>
      <c r="Q76" s="37"/>
      <c r="R76" s="42"/>
      <c r="S76" s="42"/>
      <c r="BD76" s="42"/>
      <c r="BE76" s="42"/>
      <c r="BF76" s="42"/>
      <c r="BG76" s="42"/>
      <c r="BH76" s="42"/>
      <c r="BI76" s="42">
        <v>11</v>
      </c>
    </row>
    <row r="77" ht="19.95" customHeight="1" spans="15:61">
      <c r="O77" s="37"/>
      <c r="S77" s="781"/>
      <c r="T77" s="119"/>
      <c r="U77" s="119"/>
      <c r="V77" s="119"/>
      <c r="W77" s="119"/>
      <c r="X77" s="119"/>
      <c r="Y77" s="119"/>
      <c r="Z77" s="119"/>
      <c r="AA77" s="119"/>
      <c r="AB77" s="119"/>
      <c r="AC77" s="119"/>
      <c r="AD77" s="119"/>
      <c r="AE77" s="119"/>
      <c r="AF77" s="119"/>
      <c r="AG77" s="119"/>
      <c r="AH77" s="119"/>
      <c r="AI77" s="119"/>
      <c r="AJ77" s="119"/>
      <c r="AK77" s="119"/>
      <c r="AL77" s="119"/>
      <c r="AM77" s="119"/>
      <c r="AN77" s="119"/>
      <c r="AO77" s="119"/>
      <c r="AP77" s="119"/>
      <c r="AQ77" s="119"/>
      <c r="AR77" s="119"/>
      <c r="AS77" s="119"/>
      <c r="AT77" s="119"/>
      <c r="AU77" s="119"/>
      <c r="AV77" s="119"/>
      <c r="AW77" s="119"/>
      <c r="AX77" s="119"/>
      <c r="AY77" s="119"/>
      <c r="AZ77" s="119"/>
      <c r="BA77" s="119"/>
      <c r="BB77" s="119"/>
      <c r="BC77" s="119"/>
      <c r="BI77" s="42">
        <v>19</v>
      </c>
    </row>
    <row r="78" ht="14.7" customHeight="1" spans="15:61">
      <c r="O78" s="37"/>
      <c r="T78" s="119"/>
      <c r="U78" s="119"/>
      <c r="V78" s="119"/>
      <c r="W78" s="119"/>
      <c r="X78" s="119"/>
      <c r="Y78" s="119"/>
      <c r="Z78" s="119"/>
      <c r="AA78" s="119"/>
      <c r="AB78" s="119"/>
      <c r="AC78" s="119"/>
      <c r="AD78" s="119"/>
      <c r="AE78" s="119"/>
      <c r="AF78" s="119"/>
      <c r="AG78" s="119"/>
      <c r="AH78" s="119"/>
      <c r="AI78" s="119"/>
      <c r="AJ78" s="119"/>
      <c r="AK78" s="119"/>
      <c r="AL78" s="119"/>
      <c r="AM78" s="119"/>
      <c r="AN78" s="119"/>
      <c r="AO78" s="119"/>
      <c r="AP78" s="119"/>
      <c r="AQ78" s="119"/>
      <c r="AR78" s="119"/>
      <c r="AS78" s="119"/>
      <c r="AT78" s="119"/>
      <c r="AU78" s="119"/>
      <c r="AV78" s="119"/>
      <c r="AW78" s="119"/>
      <c r="AX78" s="119"/>
      <c r="AY78" s="119"/>
      <c r="AZ78" s="119"/>
      <c r="BA78" s="119"/>
      <c r="BB78" s="119"/>
      <c r="BC78" s="119"/>
      <c r="BI78" s="42">
        <v>14</v>
      </c>
    </row>
    <row r="79" ht="19.95" customHeight="1" spans="15:61">
      <c r="O79" s="37"/>
      <c r="S79" s="781"/>
      <c r="T79" s="119"/>
      <c r="U79" s="119"/>
      <c r="V79" s="119"/>
      <c r="W79" s="119"/>
      <c r="X79" s="119"/>
      <c r="Y79" s="119"/>
      <c r="Z79" s="119"/>
      <c r="AA79" s="119"/>
      <c r="AB79" s="119"/>
      <c r="AC79" s="119"/>
      <c r="AD79" s="119"/>
      <c r="AE79" s="119"/>
      <c r="AF79" s="119"/>
      <c r="AG79" s="119"/>
      <c r="AH79" s="119"/>
      <c r="AI79" s="119"/>
      <c r="AJ79" s="119"/>
      <c r="AK79" s="119"/>
      <c r="AL79" s="119"/>
      <c r="AM79" s="119"/>
      <c r="AN79" s="119"/>
      <c r="AO79" s="119"/>
      <c r="AP79" s="119"/>
      <c r="AQ79" s="119"/>
      <c r="AR79" s="119"/>
      <c r="AS79" s="119"/>
      <c r="AT79" s="119"/>
      <c r="AU79" s="119"/>
      <c r="AV79" s="119"/>
      <c r="AW79" s="119"/>
      <c r="AX79" s="119"/>
      <c r="AY79" s="119"/>
      <c r="AZ79" s="119"/>
      <c r="BA79" s="119"/>
      <c r="BB79" s="119"/>
      <c r="BC79" s="119"/>
      <c r="BI79" s="42">
        <v>19</v>
      </c>
    </row>
    <row r="80" ht="14.7" customHeight="1" spans="15:61">
      <c r="O80" s="37"/>
      <c r="BI80" s="42">
        <v>14</v>
      </c>
    </row>
    <row r="81" hidden="1" customHeight="1" spans="1:61">
      <c r="A81" s="37" t="s">
        <v>83</v>
      </c>
      <c r="B81" s="37">
        <v>0</v>
      </c>
      <c r="C81" s="37">
        <v>0</v>
      </c>
      <c r="D81" s="37">
        <v>0</v>
      </c>
      <c r="E81" s="37">
        <v>0</v>
      </c>
      <c r="F81" s="37">
        <v>0</v>
      </c>
      <c r="G81" s="37">
        <v>0</v>
      </c>
      <c r="H81" s="37">
        <v>0</v>
      </c>
      <c r="I81" s="37">
        <v>0</v>
      </c>
      <c r="J81" s="37">
        <v>0</v>
      </c>
      <c r="K81" s="37">
        <v>0</v>
      </c>
      <c r="L81" s="47">
        <v>0</v>
      </c>
      <c r="M81" s="38">
        <v>0</v>
      </c>
      <c r="N81" s="38">
        <v>0</v>
      </c>
      <c r="O81" s="38">
        <v>0</v>
      </c>
      <c r="P81" s="38">
        <v>0</v>
      </c>
      <c r="Q81" s="1037">
        <v>0</v>
      </c>
      <c r="R81" s="40">
        <v>3</v>
      </c>
      <c r="S81" s="41">
        <v>12</v>
      </c>
      <c r="T81" s="42">
        <v>31</v>
      </c>
      <c r="U81" s="42">
        <v>0</v>
      </c>
      <c r="V81" s="42">
        <v>0</v>
      </c>
      <c r="W81" s="42">
        <v>0</v>
      </c>
      <c r="X81" s="42">
        <v>0</v>
      </c>
      <c r="Y81" s="42">
        <v>0</v>
      </c>
      <c r="Z81" s="42">
        <v>0</v>
      </c>
      <c r="AA81" s="42">
        <v>0</v>
      </c>
      <c r="AB81" s="42">
        <v>0</v>
      </c>
      <c r="AC81" s="42">
        <v>0</v>
      </c>
      <c r="AD81" s="42">
        <v>3</v>
      </c>
      <c r="AE81" s="42">
        <v>3</v>
      </c>
      <c r="AF81" s="42">
        <v>3</v>
      </c>
      <c r="AG81" s="42">
        <v>24</v>
      </c>
      <c r="AH81" s="42">
        <v>3</v>
      </c>
      <c r="AI81" s="42">
        <v>3</v>
      </c>
      <c r="AJ81" s="42">
        <v>3</v>
      </c>
      <c r="AK81" s="42">
        <v>24</v>
      </c>
      <c r="AL81" s="42">
        <v>3</v>
      </c>
      <c r="AM81" s="42">
        <v>3</v>
      </c>
      <c r="AN81" s="42">
        <v>3</v>
      </c>
      <c r="AO81" s="42">
        <v>18</v>
      </c>
      <c r="AP81" s="42">
        <v>3</v>
      </c>
      <c r="AQ81" s="42">
        <v>3</v>
      </c>
      <c r="AR81" s="42">
        <v>3</v>
      </c>
      <c r="AS81" s="42">
        <v>18</v>
      </c>
      <c r="AT81" s="42">
        <v>21</v>
      </c>
      <c r="AU81" s="42">
        <v>21</v>
      </c>
      <c r="AV81" s="42">
        <v>21</v>
      </c>
      <c r="AW81" s="42">
        <v>21</v>
      </c>
      <c r="AX81" s="42">
        <v>11</v>
      </c>
      <c r="AY81" s="42">
        <v>3</v>
      </c>
      <c r="AZ81" s="42">
        <v>11</v>
      </c>
      <c r="BA81" s="42">
        <v>0</v>
      </c>
      <c r="BB81" s="42">
        <v>4</v>
      </c>
      <c r="BC81" s="42">
        <v>115</v>
      </c>
      <c r="BD81" s="43">
        <v>10</v>
      </c>
      <c r="BE81" s="43">
        <v>10</v>
      </c>
      <c r="BF81" s="43">
        <v>10</v>
      </c>
      <c r="BG81" s="43">
        <v>10</v>
      </c>
      <c r="BH81" s="43">
        <v>10</v>
      </c>
      <c r="BI81" s="42">
        <v>23</v>
      </c>
    </row>
  </sheetData>
  <sheetProtection formatColumns="0" formatRows="0" insertRows="0" deleteColumns="0" deleteRows="0" sort="0" autoFilter="0"/>
  <mergeCells count="155">
    <mergeCell ref="V2:AC2"/>
    <mergeCell ref="AD2:BB2"/>
    <mergeCell ref="V3:AC3"/>
    <mergeCell ref="AD3:BB3"/>
    <mergeCell ref="V4:AC4"/>
    <mergeCell ref="AD4:BB4"/>
    <mergeCell ref="V5:AC5"/>
    <mergeCell ref="AD5:BB5"/>
    <mergeCell ref="V6:AC6"/>
    <mergeCell ref="AD6:BB6"/>
    <mergeCell ref="V7:AC7"/>
    <mergeCell ref="AD7:BB7"/>
    <mergeCell ref="S28:AZ28"/>
    <mergeCell ref="S29:AZ29"/>
    <mergeCell ref="S31:T31"/>
    <mergeCell ref="V31:AB31"/>
    <mergeCell ref="AD31:AZ31"/>
    <mergeCell ref="S32:T32"/>
    <mergeCell ref="V32:AB32"/>
    <mergeCell ref="AD32:AZ32"/>
    <mergeCell ref="S33:T33"/>
    <mergeCell ref="V33:AB33"/>
    <mergeCell ref="AD33:AZ33"/>
    <mergeCell ref="S34:T34"/>
    <mergeCell ref="V34:AB34"/>
    <mergeCell ref="AD34:AZ34"/>
    <mergeCell ref="S36:T36"/>
    <mergeCell ref="V36:AB36"/>
    <mergeCell ref="AD36:AZ36"/>
    <mergeCell ref="S37:T37"/>
    <mergeCell ref="V37:AB37"/>
    <mergeCell ref="AD37:AZ37"/>
    <mergeCell ref="V39:AC39"/>
    <mergeCell ref="AD39:BA39"/>
    <mergeCell ref="S40:BB40"/>
    <mergeCell ref="V41:AB41"/>
    <mergeCell ref="AT41:AZ41"/>
    <mergeCell ref="AA44:AB44"/>
    <mergeCell ref="AY44:AZ44"/>
    <mergeCell ref="AA45:AB45"/>
    <mergeCell ref="AY45:AZ45"/>
    <mergeCell ref="V46:AC46"/>
    <mergeCell ref="AD46:BB46"/>
    <mergeCell ref="V47:AC47"/>
    <mergeCell ref="AD47:BB47"/>
    <mergeCell ref="V48:AC48"/>
    <mergeCell ref="AD48:BB48"/>
    <mergeCell ref="V49:AC49"/>
    <mergeCell ref="AD49:BB49"/>
    <mergeCell ref="V50:AC50"/>
    <mergeCell ref="AD50:BB50"/>
    <mergeCell ref="V51:AC51"/>
    <mergeCell ref="AD51:BB51"/>
    <mergeCell ref="T77:BC77"/>
    <mergeCell ref="T79:BC79"/>
    <mergeCell ref="E2:E18"/>
    <mergeCell ref="E46:E74"/>
    <mergeCell ref="F3:F17"/>
    <mergeCell ref="F47:F73"/>
    <mergeCell ref="G4:G16"/>
    <mergeCell ref="G48:G72"/>
    <mergeCell ref="H5:H15"/>
    <mergeCell ref="H49:H71"/>
    <mergeCell ref="I6:I14"/>
    <mergeCell ref="I50:I70"/>
    <mergeCell ref="J7:J13"/>
    <mergeCell ref="J51:J69"/>
    <mergeCell ref="K8:K12"/>
    <mergeCell ref="K52:K68"/>
    <mergeCell ref="P6:P14"/>
    <mergeCell ref="P50:P70"/>
    <mergeCell ref="Q7:Q13"/>
    <mergeCell ref="Q51:Q69"/>
    <mergeCell ref="R8:R12"/>
    <mergeCell ref="R55:R68"/>
    <mergeCell ref="S8:S12"/>
    <mergeCell ref="S41:S44"/>
    <mergeCell ref="S52:S68"/>
    <mergeCell ref="T8:T12"/>
    <mergeCell ref="T41:T44"/>
    <mergeCell ref="T52:T68"/>
    <mergeCell ref="AC41:AC44"/>
    <mergeCell ref="AD8:AD12"/>
    <mergeCell ref="AD52:AD68"/>
    <mergeCell ref="AE8:AE11"/>
    <mergeCell ref="AE52:AE67"/>
    <mergeCell ref="AF8:AF11"/>
    <mergeCell ref="AF52:AF67"/>
    <mergeCell ref="AG8:AG11"/>
    <mergeCell ref="AG52:AG67"/>
    <mergeCell ref="AH8:AH11"/>
    <mergeCell ref="AH52:AH67"/>
    <mergeCell ref="AI8:AI10"/>
    <mergeCell ref="AI52:AI54"/>
    <mergeCell ref="AI55:AI57"/>
    <mergeCell ref="AI58:AI60"/>
    <mergeCell ref="AI61:AI63"/>
    <mergeCell ref="AI64:AI66"/>
    <mergeCell ref="AJ8:AJ10"/>
    <mergeCell ref="AJ52:AJ54"/>
    <mergeCell ref="AJ55:AJ57"/>
    <mergeCell ref="AJ58:AJ60"/>
    <mergeCell ref="AJ61:AJ63"/>
    <mergeCell ref="AJ64:AJ66"/>
    <mergeCell ref="AK8:AK10"/>
    <mergeCell ref="AK52:AK54"/>
    <mergeCell ref="AK55:AK57"/>
    <mergeCell ref="AK58:AK60"/>
    <mergeCell ref="AK61:AK63"/>
    <mergeCell ref="AK64:AK66"/>
    <mergeCell ref="AL8:AL10"/>
    <mergeCell ref="AL52:AL54"/>
    <mergeCell ref="AL55:AL57"/>
    <mergeCell ref="AL58:AL60"/>
    <mergeCell ref="AL61:AL63"/>
    <mergeCell ref="AL64:AL66"/>
    <mergeCell ref="AM8:AM9"/>
    <mergeCell ref="AM52:AM53"/>
    <mergeCell ref="AM55:AM56"/>
    <mergeCell ref="AM58:AM59"/>
    <mergeCell ref="AM61:AM62"/>
    <mergeCell ref="AM64:AM65"/>
    <mergeCell ref="AN8:AN9"/>
    <mergeCell ref="AN52:AN53"/>
    <mergeCell ref="AN55:AN56"/>
    <mergeCell ref="AN58:AN59"/>
    <mergeCell ref="AN61:AN62"/>
    <mergeCell ref="AN64:AN65"/>
    <mergeCell ref="AO8:AO9"/>
    <mergeCell ref="AO52:AO53"/>
    <mergeCell ref="AO55:AO56"/>
    <mergeCell ref="AO58:AO59"/>
    <mergeCell ref="AO61:AO62"/>
    <mergeCell ref="AO64:AO65"/>
    <mergeCell ref="AP8:AP9"/>
    <mergeCell ref="AP52:AP53"/>
    <mergeCell ref="AP55:AP56"/>
    <mergeCell ref="AP58:AP59"/>
    <mergeCell ref="AP61:AP62"/>
    <mergeCell ref="AP64:AP65"/>
    <mergeCell ref="BA41:BA44"/>
    <mergeCell ref="BB41:BB44"/>
    <mergeCell ref="BC8:BC13"/>
    <mergeCell ref="BC40:BC44"/>
    <mergeCell ref="BC52:BC69"/>
    <mergeCell ref="AD41:AG44"/>
    <mergeCell ref="AH41:AK44"/>
    <mergeCell ref="AL41:AO44"/>
    <mergeCell ref="AP41:AS44"/>
    <mergeCell ref="V42:W43"/>
    <mergeCell ref="X42:Y43"/>
    <mergeCell ref="AT42:AU43"/>
    <mergeCell ref="AV42:AW43"/>
    <mergeCell ref="Z42:AB43"/>
    <mergeCell ref="AX42:AZ43"/>
  </mergeCells>
  <dataValidations count="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X8 AZ8 AX20 AZ20 Z52 AB52 AX52 AZ52 Z55 AB55 AX55 AZ55 Z58 AB58 AX58 AZ58 Z61 AB61 AX61 AZ61 Z64 AB64 AX64 AZ64 Z65601 AB65601 AX65601 AZ65601 Z131137 AB131137 AX131137 AZ131137 Z196673 AB196673 AX196673 AZ196673 Z262209 AB262209 AX262209 AZ262209 Z327745 AB327745 AX327745 AZ327745 Z393281 AB393281 AX393281 AZ393281 Z458817 AB458817 AX458817 AZ458817 Z524353 AB524353 AX524353 AZ524353 Z589889 AB589889 AX589889 AZ589889 Z655425 AB655425 AX655425 AZ655425 Z720961 AB720961 AX720961 AZ720961 Z786497 AB786497 AX786497 AZ786497 Z852033 AB852033 AX852033 AZ852033 Z917569 AB917569 AX917569 AZ917569 Z983105 AB983105 AX983105 AZ983105"/>
    <dataValidation allowBlank="1" showInputMessage="1" showErrorMessage="1" prompt="Для выбора выполните двойной щелчок левой клавиши мыши по соответствующей ячейке." sqref="AA8 AC8:AD8 AP8 AY8 BA8 AD20 AG20:AH20 AK20:AL20 AP20 AY20 BA20 AA52 AC52:AD52 AP52 AY52 BA52 AA55 AC55:AD55 AP55 AY55 BA55 AA58 AC58:AD58 AP58 AY58 BA58 AA61 AC61:AD61 AP61 AY61 BA61 AA64 AC64:AD64 AP64 AY64 BA64 AA65601 AC65601 AY65601 BA65601 AA131137 AC131137 AY131137 BA131137 AA196673 AC196673 AY196673 BA196673 AA262209 AC262209 AY262209 BA262209 AA327745 AC327745 AY327745 BA327745 AA393281 AC393281 AY393281 BA393281 AA458817 AC458817 AY458817 BA458817 AA524353 AC524353 AY524353 BA524353 AA589889 AC589889 AY589889 BA589889 AA655425 AC655425 AY655425 BA655425 AA720961 AC720961 AY720961 BA720961 AA786497 AC786497 AY786497 BA786497 AA852033 AC852033 AY852033 BA852033 AA917569 AC917569 AY917569 BA917569 AA983105 AC983105 AY983105 BA983105 AH8:AH9 AH52:AH53 AH55:AH56 AH58:AH59 AH61:AH62 AH64:AH65 AK55:AL56 AK61:AL62 AK8:AL9 AK52:AL53 AK58:AL59 AK64:AL65"/>
    <dataValidation type="textLength" operator="lessThanOrEqual" allowBlank="1" showInputMessage="1" showErrorMessage="1" errorTitle="Ошибка" error="Допускается ввод не более 900 символов!" sqref="AS8 AS52 AS55 AS58 AS61 AS64 T8:T12 T52:T68 BC65595:BC65602 BC131131:BC131138 BC196667:BC196674 BC262203:BC262210 BC327739:BC327746 BC393275:BC393282 BC458811:BC458818 BC524347:BC524354 BC589883:BC589890 BC655419:BC655426 BC720955:BC720962 BC786491:BC786498 BC852027:BC852034 BC917563:BC917570 BC983099:BC983106">
      <formula1>900</formula1>
    </dataValidation>
    <dataValidation allowBlank="1" promptTitle="checkPeriodRange" sqref="W12 Y12 AU12 AW12 BB12 W68 Y68 AU68 AW68 BB68 W65602 Y65602 AW65602 W131138 Y131138 AW131138 W196674 Y196674 AW196674 W262210 Y262210 AW262210 W327746 Y327746 AW327746 W393282 Y393282 AW393282 W458818 Y458818 AW458818 W524354 Y524354 AW524354 W589890 Y589890 AW589890 W655426 Y655426 AW655426 W720962 Y720962 AW720962 W786498 Y786498 AW786498 W852034 Y852034 AW852034 W917570 Y917570 AW917570 W983106 Y983106 AW983106"/>
    <dataValidation type="list" allowBlank="1" showInputMessage="1" showErrorMessage="1" errorTitle="Ошибка" error="Выберите значение из списка" sqref="AD65599:AS65599 AD131135:AS131135 AD196671:AS196671 AD262207:AS262207 AD327743:AS327743 AD393279:AS393279 AD458815:AS458815 AD524351:AS524351 AD589887:AS589887 AD655423:AS655423 AD720959:AS720959 AD786495:AS786495 AD852031:AS852031 AD917567:AS917567 AD983103:AS983103">
      <formula1>kind_of_scheme_in</formula1>
    </dataValidation>
    <dataValidation type="list" allowBlank="1" showInputMessage="1" errorTitle="Ошибка" error="Выберите значение из списка" prompt="Выберите значение из списка" sqref="V65600:BB65600 V131136:BB131136 V196672:BB196672 V262208:BB262208 V327744:BB327744 V393280:BB393280 V458816:BB458816 V524352:BB524352 V589888:BB589888 V655424:BB655424 V720960:BB720960 V786496:BB786496 V852032:BB852032 V917568:BB917568 V983104:BB983104">
      <formula1>kind_of_cons</formula1>
    </dataValidation>
    <dataValidation type="list" allowBlank="1" showInputMessage="1" showErrorMessage="1" errorTitle="Ошибка" error="Выберите значение из списка" sqref="T65601 T131137 T196673 T262209 T327745 T393281 T458817 T524353 T589889 T655425 T720961 T786497 T852033 T917569 T983105">
      <formula1>kind_of_heat_transfer</formula1>
    </dataValidation>
    <dataValidation type="decimal" operator="between" allowBlank="1" showErrorMessage="1" errorTitle="Ошибка" error="Допускается ввод только действительных чисел!" sqref="AG8:AG11 AG52:AG67 AO8:AO9 AO52:AO53 AO55:AO56 AO58:AO59 AO61:AO62 AO64:AO65">
      <formula1>-9.99999999999999E+23</formula1>
      <formula2>9.99999999999999E+23</formula2>
    </dataValidation>
    <dataValidation allowBlank="1" sqref="S65603:BC65609 S524355:BC524361 S983107:BC983113 S458819:BC458825 S917571:BC917577 S393283:BC393289 S852035:BC852041 S327747:BC327753 S786499:BC786505 S262211:BC262217 S720963:BC720969 S196675:BC196681 S655427:BC655433 S131139:BC131145 S589891:BC589897"/>
  </dataValidations>
  <pageMargins left="0.7" right="0.7" top="0.75" bottom="0.75" header="0.3" footer="0.3"/>
  <pageSetup paperSize="1"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526</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527</v>
      </c>
      <c r="AM4" s="150"/>
      <c r="AN4" s="150" t="str">
        <f t="shared" si="0"/>
        <v>Наименование централизованной системы водоотведения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t="2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251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252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РТ по тарифам</v>
      </c>
      <c r="W27" s="59"/>
      <c r="X27" s="59"/>
      <c r="Y27" s="59"/>
      <c r="Z27" s="59"/>
      <c r="AA27" s="59"/>
      <c r="AB27" s="42"/>
      <c r="AC27" s="59" t="str">
        <f>IF(TITLE_NAME_OR_PR_CHANGE="",IF(TITLE_NAME_OR_PR="","",TITLE_NAME_OR_PR),TITLE_NAME_OR_PR_CHANGE)</f>
        <v>Государственный комитет РТ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108-73/тп-2024</v>
      </c>
      <c r="W29" s="59"/>
      <c r="X29" s="59"/>
      <c r="Y29" s="59"/>
      <c r="Z29" s="59"/>
      <c r="AA29" s="59"/>
      <c r="AB29" s="42"/>
      <c r="AC29" s="59" t="str">
        <f>IF(TITLE_NUMBER_PR_CHANGE="",IF(TITLE_NUMBER_PR="","",TITLE_NUMBER_PR),TITLE_NUMBER_PR_CHANGE)</f>
        <v>108-73/тп-2024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
Республики Татарстан"</v>
      </c>
      <c r="W30" s="59"/>
      <c r="X30" s="59"/>
      <c r="Y30" s="59"/>
      <c r="Z30" s="59"/>
      <c r="AA30" s="59"/>
      <c r="AB30" s="42"/>
      <c r="AC30" s="59" t="str">
        <f>IF(TITLE_IST_PUB_CHANGE="",IF(TITLE_IST_PUB="","",TITLE_IST_PUB),TITLE_IST_PUB_CHANGE)</f>
        <v>"Официальный портал правовой информации
Республики Татарстан"</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108-73/тп-2024</v>
      </c>
      <c r="W33" s="59"/>
      <c r="X33" s="59"/>
      <c r="Y33" s="59"/>
      <c r="Z33" s="59"/>
      <c r="AA33" s="59"/>
      <c r="AB33" s="42"/>
      <c r="AC33" s="59" t="str">
        <f>IF(TITLE_NUMBER_PR_CHANGE="",IF(TITLE_NUMBER_PR="","",TITLE_NUMBER_PR),TITLE_NUMBER_PR_CHANGE)</f>
        <v>108-73/тп-2024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90.3"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528</v>
      </c>
      <c r="W39" s="130" t="s">
        <v>529</v>
      </c>
      <c r="X39" s="130" t="s">
        <v>496</v>
      </c>
      <c r="Y39" s="130" t="s">
        <v>449</v>
      </c>
      <c r="Z39" s="131" t="s">
        <v>450</v>
      </c>
      <c r="AA39" s="132"/>
      <c r="AB39" s="133"/>
      <c r="AC39" s="70" t="s">
        <v>528</v>
      </c>
      <c r="AD39" s="130" t="s">
        <v>529</v>
      </c>
      <c r="AE39" s="130" t="s">
        <v>496</v>
      </c>
      <c r="AF39" s="130" t="s">
        <v>449</v>
      </c>
      <c r="AG39" s="131" t="s">
        <v>450</v>
      </c>
      <c r="AH39" s="132"/>
      <c r="AI39" s="133"/>
      <c r="AJ39" s="134"/>
      <c r="AK39" s="63"/>
      <c r="AQ39" s="42">
        <v>86</v>
      </c>
    </row>
    <row r="40" s="36" customFormat="1" ht="11.25"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271</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271</v>
      </c>
      <c r="B42" s="45" t="s">
        <v>272</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271</v>
      </c>
      <c r="B43" s="45" t="s">
        <v>272</v>
      </c>
      <c r="C43" s="45" t="s">
        <v>273</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526</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527</v>
      </c>
      <c r="AM43" s="150"/>
      <c r="AN43" s="150" t="str">
        <f t="shared" si="1"/>
        <v>Наименование централизованной системы водоотведения</v>
      </c>
      <c r="AO43" s="150"/>
      <c r="AP43" s="150"/>
      <c r="AQ43" s="42">
        <v>23</v>
      </c>
    </row>
    <row r="44" ht="24" customHeight="1" spans="1:43">
      <c r="A44" s="45" t="s">
        <v>271</v>
      </c>
      <c r="B44" s="45" t="s">
        <v>272</v>
      </c>
      <c r="C44" s="45" t="s">
        <v>273</v>
      </c>
      <c r="D44" s="45" t="s">
        <v>530</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271</v>
      </c>
      <c r="B45" s="45" t="s">
        <v>272</v>
      </c>
      <c r="C45" s="45" t="s">
        <v>273</v>
      </c>
      <c r="D45" s="45" t="s">
        <v>530</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271</v>
      </c>
      <c r="B46" s="45" t="s">
        <v>272</v>
      </c>
      <c r="C46" s="45" t="s">
        <v>273</v>
      </c>
      <c r="D46" s="45" t="s">
        <v>530</v>
      </c>
      <c r="E46" s="1039"/>
      <c r="F46" s="1039"/>
      <c r="G46" s="1039"/>
      <c r="H46" s="1039"/>
      <c r="I46" s="1044"/>
      <c r="J46" s="1044"/>
      <c r="K46" s="228" t="str">
        <f>J45&amp;".1"</f>
        <v>...1.1.1</v>
      </c>
      <c r="L46" s="1040"/>
      <c r="P46" s="92"/>
      <c r="Q46" s="92"/>
      <c r="R46" s="96">
        <v>1</v>
      </c>
      <c r="S46" s="64" t="str">
        <f>$K46</f>
        <v>...1.1.1</v>
      </c>
      <c r="T46" s="1114"/>
      <c r="U46" s="83"/>
      <c r="V46" s="489"/>
      <c r="W46" s="489"/>
      <c r="X46" s="1118"/>
      <c r="Y46" s="1119"/>
      <c r="Z46" s="352" t="s">
        <v>62</v>
      </c>
      <c r="AA46" s="1119"/>
      <c r="AB46" s="352" t="s">
        <v>62</v>
      </c>
      <c r="AC46" s="101"/>
      <c r="AD46" s="101"/>
      <c r="AE46" s="137"/>
      <c r="AF46" s="138"/>
      <c r="AG46" s="139" t="s">
        <v>62</v>
      </c>
      <c r="AH46" s="1123"/>
      <c r="AI46" s="139" t="s">
        <v>19</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271</v>
      </c>
      <c r="B47" s="45" t="s">
        <v>272</v>
      </c>
      <c r="C47" s="45" t="s">
        <v>273</v>
      </c>
      <c r="D47" s="45" t="s">
        <v>530</v>
      </c>
      <c r="E47" s="1039"/>
      <c r="F47" s="1039"/>
      <c r="G47" s="1039"/>
      <c r="H47" s="1039"/>
      <c r="I47" s="1044"/>
      <c r="J47" s="1044"/>
      <c r="K47" s="228"/>
      <c r="L47" s="1040"/>
      <c r="P47" s="92"/>
      <c r="Q47" s="92"/>
      <c r="R47" s="96"/>
      <c r="S47" s="103"/>
      <c r="T47" s="83"/>
      <c r="U47" s="83"/>
      <c r="V47" s="489"/>
      <c r="W47" s="489"/>
      <c r="X47" s="141" t="str">
        <f>Y46&amp;"-"&amp;AA46</f>
        <v>-</v>
      </c>
      <c r="Y47" s="352"/>
      <c r="Z47" s="352"/>
      <c r="AA47" s="352"/>
      <c r="AB47" s="352"/>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271</v>
      </c>
      <c r="B48" s="45" t="s">
        <v>272</v>
      </c>
      <c r="C48" s="45" t="s">
        <v>273</v>
      </c>
      <c r="D48" s="45" t="s">
        <v>530</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271</v>
      </c>
      <c r="B49" s="45" t="s">
        <v>272</v>
      </c>
      <c r="C49" s="45" t="s">
        <v>273</v>
      </c>
      <c r="D49" s="45" t="s">
        <v>530</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271</v>
      </c>
      <c r="B50" s="45" t="s">
        <v>272</v>
      </c>
      <c r="C50" s="45" t="s">
        <v>273</v>
      </c>
      <c r="D50" s="45" t="s">
        <v>530</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271</v>
      </c>
      <c r="B51" s="587" t="s">
        <v>272</v>
      </c>
      <c r="C51" s="587"/>
      <c r="D51" s="587"/>
      <c r="E51" s="1039"/>
      <c r="F51" s="1038"/>
      <c r="G51" s="587"/>
      <c r="H51" s="587"/>
      <c r="I51" s="587"/>
      <c r="J51" s="587"/>
      <c r="K51" s="587"/>
      <c r="L51" s="608"/>
      <c r="M51" s="1045"/>
      <c r="N51" s="1045"/>
      <c r="P51" s="151"/>
      <c r="Q51" s="1068"/>
      <c r="R51" s="151"/>
      <c r="S51" s="1070"/>
      <c r="T51" s="1071" t="s">
        <v>251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271</v>
      </c>
      <c r="B52" s="587"/>
      <c r="C52" s="587"/>
      <c r="D52" s="587"/>
      <c r="E52" s="1038"/>
      <c r="F52" s="587"/>
      <c r="G52" s="587"/>
      <c r="H52" s="587"/>
      <c r="I52" s="587"/>
      <c r="J52" s="587"/>
      <c r="K52" s="587"/>
      <c r="L52" s="608"/>
      <c r="M52" s="1045"/>
      <c r="N52" s="1045"/>
      <c r="P52" s="151"/>
      <c r="Q52" s="1068"/>
      <c r="R52" s="151"/>
      <c r="S52" s="1070"/>
      <c r="T52" s="1071" t="s">
        <v>252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253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Q58"/>
  <sheetViews>
    <sheetView showGridLines="0" zoomScale="90" zoomScaleNormal="90" workbookViewId="0">
      <pane xSplit="28" ySplit="40" topLeftCell="AC41"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4" width="24.7142857142857" style="42" hidden="1" customWidth="1"/>
    <col min="25" max="25" width="11.7142857142857" style="42" hidden="1" customWidth="1"/>
    <col min="26" max="26" width="3.71428571428571" style="42" hidden="1" customWidth="1"/>
    <col min="27" max="27" width="11.7142857142857" style="42" hidden="1" customWidth="1"/>
    <col min="28" max="28" width="8.57142857142857" style="42" hidden="1" customWidth="1"/>
    <col min="29" max="29" width="24.7142857142857" style="42" customWidth="1"/>
    <col min="30" max="31" width="24" style="42" customWidth="1"/>
    <col min="32" max="32" width="11" style="42" customWidth="1"/>
    <col min="33" max="33" width="3.71428571428571" style="42" customWidth="1"/>
    <col min="34" max="34" width="11" style="42" customWidth="1"/>
    <col min="35" max="35" width="8.57142857142857" style="42" hidden="1" customWidth="1"/>
    <col min="36" max="36" width="4" style="42" customWidth="1"/>
    <col min="37" max="37" width="115" style="42" customWidth="1"/>
    <col min="38" max="42" width="10" style="43" customWidth="1"/>
    <col min="43" max="43" width="10.5714285714286" style="42" hidden="1"/>
  </cols>
  <sheetData>
    <row r="1" ht="22.5" hidden="1" customHeight="1" spans="43:43">
      <c r="AQ1" s="42" t="s">
        <v>14</v>
      </c>
    </row>
    <row r="2" ht="23.25" hidden="1" customHeight="1" spans="1:43">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75"/>
      <c r="AC2" s="1076" t="e">
        <f>INDEX(PT_DIFFERENTIATION_NTAR,MATCH(A2,PT_DIFFERENTIATION_NTAR_ID,0))</f>
        <v>#N/A</v>
      </c>
      <c r="AD2" s="1047"/>
      <c r="AE2" s="1047"/>
      <c r="AF2" s="1047"/>
      <c r="AG2" s="1047"/>
      <c r="AH2" s="1047"/>
      <c r="AI2" s="1047"/>
      <c r="AJ2" s="1075"/>
      <c r="AK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150"/>
      <c r="AN2" s="150" t="str">
        <f t="shared" ref="AN2:AN13" si="0">IF(T2="","",T2)</f>
        <v>Наименование тарифа</v>
      </c>
      <c r="AO2" s="150"/>
      <c r="AP2" s="150"/>
      <c r="AQ2" s="42">
        <v>0</v>
      </c>
    </row>
    <row r="3" ht="23.25" hidden="1" customHeight="1" spans="1:43">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75"/>
      <c r="AC3" s="1076" t="e">
        <f>INDEX(PT_DIFFERENTIATION_TER,MATCH(B3,PT_DIFFERENTIATION_TER_ID,0))</f>
        <v>#N/A</v>
      </c>
      <c r="AD3" s="1047"/>
      <c r="AE3" s="1047"/>
      <c r="AF3" s="1047"/>
      <c r="AG3" s="1047"/>
      <c r="AH3" s="1047"/>
      <c r="AI3" s="1047"/>
      <c r="AJ3" s="1075"/>
      <c r="AK3" s="135" t="s">
        <v>403</v>
      </c>
      <c r="AM3" s="150"/>
      <c r="AN3" s="150" t="str">
        <f t="shared" si="0"/>
        <v>Территория действия тарифа</v>
      </c>
      <c r="AO3" s="150"/>
      <c r="AP3" s="150"/>
      <c r="AQ3" s="42">
        <v>0</v>
      </c>
    </row>
    <row r="4" ht="23.25" hidden="1" customHeight="1" spans="1:43">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526</v>
      </c>
      <c r="U4" s="83"/>
      <c r="V4" s="1076"/>
      <c r="W4" s="1047"/>
      <c r="X4" s="1047"/>
      <c r="Y4" s="1047"/>
      <c r="Z4" s="1047"/>
      <c r="AA4" s="1047"/>
      <c r="AB4" s="1075"/>
      <c r="AC4" s="1076" t="e">
        <f>INDEX(PT_DIFFERENTIATION_CS,MATCH(C4,PT_DIFFERENTIATION_CS_ID,0))</f>
        <v>#N/A</v>
      </c>
      <c r="AD4" s="1047"/>
      <c r="AE4" s="1047"/>
      <c r="AF4" s="1047"/>
      <c r="AG4" s="1047"/>
      <c r="AH4" s="1047"/>
      <c r="AI4" s="1047"/>
      <c r="AJ4" s="1075"/>
      <c r="AK4" s="135" t="s">
        <v>527</v>
      </c>
      <c r="AM4" s="150"/>
      <c r="AN4" s="150" t="str">
        <f t="shared" si="0"/>
        <v>Наименование централизованной системы водоотведения</v>
      </c>
      <c r="AO4" s="150"/>
      <c r="AP4" s="150"/>
      <c r="AQ4" s="42">
        <v>0</v>
      </c>
    </row>
    <row r="5" ht="23.25" hidden="1" customHeight="1" spans="1:43">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7"/>
      <c r="AC5" s="821"/>
      <c r="AD5" s="1120"/>
      <c r="AE5" s="1120"/>
      <c r="AF5" s="1120"/>
      <c r="AG5" s="1120"/>
      <c r="AH5" s="1120"/>
      <c r="AI5" s="1120"/>
      <c r="AJ5" s="1121"/>
      <c r="AK5" s="135" t="s">
        <v>486</v>
      </c>
      <c r="AM5" s="150"/>
      <c r="AN5" s="150" t="str">
        <f t="shared" si="0"/>
        <v>Наименование признака дифференциации</v>
      </c>
      <c r="AO5" s="150"/>
      <c r="AP5" s="150"/>
      <c r="AQ5" s="42">
        <v>0</v>
      </c>
    </row>
    <row r="6" ht="23.25" hidden="1" customHeight="1" spans="1:43">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136"/>
      <c r="AC6" s="98"/>
      <c r="AD6" s="99"/>
      <c r="AE6" s="99"/>
      <c r="AF6" s="99"/>
      <c r="AG6" s="99"/>
      <c r="AH6" s="99"/>
      <c r="AI6" s="99"/>
      <c r="AJ6" s="136"/>
      <c r="AK6" s="1122" t="s">
        <v>487</v>
      </c>
      <c r="AM6" s="150"/>
      <c r="AN6" s="150" t="str">
        <f t="shared" si="0"/>
        <v>Группа потребителей</v>
      </c>
      <c r="AO6" s="150"/>
      <c r="AP6" s="150"/>
      <c r="AQ6" s="42">
        <v>0</v>
      </c>
    </row>
    <row r="7" ht="23.25" hidden="1" customHeight="1" spans="1:43">
      <c r="A7" s="45"/>
      <c r="B7" s="45"/>
      <c r="C7" s="45"/>
      <c r="D7" s="45"/>
      <c r="E7" s="1039"/>
      <c r="F7" s="1039"/>
      <c r="G7" s="1039"/>
      <c r="H7" s="1039"/>
      <c r="I7" s="1044"/>
      <c r="J7" s="1044"/>
      <c r="K7" s="228" t="e">
        <f>J6&amp;".1"</f>
        <v>#N/A</v>
      </c>
      <c r="L7" s="1040"/>
      <c r="P7" s="92"/>
      <c r="Q7" s="92"/>
      <c r="R7" s="96">
        <v>1</v>
      </c>
      <c r="S7" s="64" t="e">
        <f>$K7</f>
        <v>#N/A</v>
      </c>
      <c r="T7" s="1114"/>
      <c r="U7" s="83"/>
      <c r="V7" s="101"/>
      <c r="W7" s="101"/>
      <c r="X7" s="137"/>
      <c r="Y7" s="138"/>
      <c r="Z7" s="139" t="s">
        <v>62</v>
      </c>
      <c r="AA7" s="138"/>
      <c r="AB7" s="139" t="s">
        <v>62</v>
      </c>
      <c r="AC7" s="101"/>
      <c r="AD7" s="101"/>
      <c r="AE7" s="137"/>
      <c r="AF7" s="138"/>
      <c r="AG7" s="139" t="s">
        <v>62</v>
      </c>
      <c r="AH7" s="1123"/>
      <c r="AI7" s="139" t="s">
        <v>62</v>
      </c>
      <c r="AJ7" s="1124"/>
      <c r="AK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 t="e">
        <f>STRCHECKDATE(V8:AJ8)</f>
        <v>#NAME?</v>
      </c>
      <c r="AM7" s="150"/>
      <c r="AN7" s="150" t="str">
        <f t="shared" si="0"/>
        <v/>
      </c>
      <c r="AO7" s="150"/>
      <c r="AP7" s="150"/>
      <c r="AQ7" s="42">
        <v>0</v>
      </c>
    </row>
    <row r="8" hidden="1" customHeight="1" spans="1:43">
      <c r="A8" s="45"/>
      <c r="B8" s="45"/>
      <c r="C8" s="45"/>
      <c r="D8" s="45"/>
      <c r="E8" s="1039"/>
      <c r="F8" s="1039"/>
      <c r="G8" s="1039"/>
      <c r="H8" s="1039"/>
      <c r="I8" s="1044"/>
      <c r="J8" s="1044"/>
      <c r="K8" s="228"/>
      <c r="L8" s="1040"/>
      <c r="P8" s="92"/>
      <c r="Q8" s="92"/>
      <c r="R8" s="96"/>
      <c r="S8" s="103"/>
      <c r="T8" s="83"/>
      <c r="U8" s="83"/>
      <c r="V8" s="102"/>
      <c r="W8" s="102"/>
      <c r="X8" s="141" t="str">
        <f>Y7&amp;"-"&amp;AA7</f>
        <v>-</v>
      </c>
      <c r="Y8" s="142"/>
      <c r="Z8" s="139"/>
      <c r="AA8" s="142"/>
      <c r="AB8" s="139"/>
      <c r="AC8" s="102"/>
      <c r="AD8" s="102"/>
      <c r="AE8" s="141" t="str">
        <f>AF7&amp;"-"&amp;AH7</f>
        <v>-</v>
      </c>
      <c r="AF8" s="142"/>
      <c r="AG8" s="139"/>
      <c r="AH8" s="1126"/>
      <c r="AI8" s="139"/>
      <c r="AJ8" s="763"/>
      <c r="AK8" s="1125"/>
      <c r="AM8" s="150"/>
      <c r="AN8" s="150" t="str">
        <f t="shared" si="0"/>
        <v/>
      </c>
      <c r="AO8" s="150"/>
      <c r="AP8" s="150"/>
      <c r="AQ8" s="42">
        <v>0</v>
      </c>
    </row>
    <row r="9" ht="21" hidden="1" customHeight="1" spans="1:43">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35" t="s">
        <v>489</v>
      </c>
      <c r="AM9" s="150"/>
      <c r="AN9" s="150" t="str">
        <f t="shared" si="0"/>
        <v>Добавить значение признака дифференциации</v>
      </c>
      <c r="AO9" s="150"/>
      <c r="AP9" s="150"/>
      <c r="AQ9" s="42">
        <v>0</v>
      </c>
    </row>
    <row r="10" ht="21" hidden="1" customHeight="1" spans="1:43">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46"/>
      <c r="AC10" s="106"/>
      <c r="AD10" s="106"/>
      <c r="AE10" s="106"/>
      <c r="AF10" s="106"/>
      <c r="AG10" s="106"/>
      <c r="AH10" s="106"/>
      <c r="AI10" s="146"/>
      <c r="AJ10" s="106"/>
      <c r="AK10" s="1127"/>
      <c r="AM10" s="150"/>
      <c r="AN10" s="150" t="str">
        <f t="shared" si="0"/>
        <v>Добавить группу потребителей</v>
      </c>
      <c r="AO10" s="150"/>
      <c r="AP10" s="150"/>
      <c r="AQ10" s="42">
        <v>0</v>
      </c>
    </row>
    <row r="11" ht="21" hidden="1" customHeight="1" spans="1:43">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46"/>
      <c r="AC11" s="106"/>
      <c r="AD11" s="106"/>
      <c r="AE11" s="106"/>
      <c r="AF11" s="106"/>
      <c r="AG11" s="106"/>
      <c r="AH11" s="106"/>
      <c r="AI11" s="146"/>
      <c r="AJ11" s="106"/>
      <c r="AK11" s="147"/>
      <c r="AM11" s="150"/>
      <c r="AN11" s="150" t="str">
        <f t="shared" si="0"/>
        <v>Добавить наименование признака дифференциации</v>
      </c>
      <c r="AO11" s="150"/>
      <c r="AP11" s="150"/>
      <c r="AQ11" s="42">
        <v>0</v>
      </c>
    </row>
    <row r="12" s="43" customFormat="1" hidden="1" customHeight="1" spans="1:43">
      <c r="A12" s="587"/>
      <c r="B12" s="587"/>
      <c r="C12" s="587"/>
      <c r="D12" s="587"/>
      <c r="E12" s="1039"/>
      <c r="F12" s="1038"/>
      <c r="G12" s="587"/>
      <c r="H12" s="587"/>
      <c r="I12" s="587"/>
      <c r="J12" s="587"/>
      <c r="K12" s="587"/>
      <c r="L12" s="608"/>
      <c r="M12" s="1045"/>
      <c r="N12" s="1045"/>
      <c r="P12" s="151"/>
      <c r="Q12" s="1068"/>
      <c r="R12" s="151"/>
      <c r="S12" s="1070"/>
      <c r="T12" s="1071" t="s">
        <v>251</v>
      </c>
      <c r="U12" s="306"/>
      <c r="V12" s="306"/>
      <c r="W12" s="306"/>
      <c r="X12" s="306"/>
      <c r="Y12" s="306"/>
      <c r="Z12" s="306"/>
      <c r="AA12" s="306"/>
      <c r="AB12" s="306"/>
      <c r="AC12" s="306"/>
      <c r="AD12" s="306"/>
      <c r="AE12" s="306"/>
      <c r="AF12" s="306"/>
      <c r="AG12" s="306"/>
      <c r="AH12" s="306"/>
      <c r="AI12" s="306"/>
      <c r="AJ12" s="306"/>
      <c r="AK12" s="306"/>
      <c r="AM12" s="150"/>
      <c r="AN12" s="150" t="str">
        <f t="shared" si="0"/>
        <v>Добавить централизованную систему для дифференциации</v>
      </c>
      <c r="AO12" s="150"/>
      <c r="AP12" s="150"/>
      <c r="AQ12" s="43">
        <v>0</v>
      </c>
    </row>
    <row r="13" s="43" customFormat="1" hidden="1" customHeight="1" spans="1:43">
      <c r="A13" s="587"/>
      <c r="B13" s="587"/>
      <c r="C13" s="587"/>
      <c r="D13" s="587"/>
      <c r="E13" s="1038"/>
      <c r="F13" s="587"/>
      <c r="G13" s="587"/>
      <c r="H13" s="587"/>
      <c r="I13" s="587"/>
      <c r="J13" s="587"/>
      <c r="K13" s="587"/>
      <c r="L13" s="608"/>
      <c r="M13" s="1045"/>
      <c r="N13" s="1045"/>
      <c r="P13" s="151"/>
      <c r="Q13" s="1068"/>
      <c r="R13" s="151"/>
      <c r="S13" s="1070"/>
      <c r="T13" s="1071" t="s">
        <v>252</v>
      </c>
      <c r="U13" s="306"/>
      <c r="V13" s="306"/>
      <c r="W13" s="306"/>
      <c r="X13" s="306"/>
      <c r="Y13" s="306"/>
      <c r="Z13" s="306"/>
      <c r="AA13" s="306"/>
      <c r="AB13" s="306"/>
      <c r="AC13" s="306"/>
      <c r="AD13" s="306"/>
      <c r="AE13" s="306"/>
      <c r="AF13" s="306"/>
      <c r="AG13" s="306"/>
      <c r="AH13" s="306"/>
      <c r="AI13" s="306"/>
      <c r="AJ13" s="306"/>
      <c r="AK13" s="306"/>
      <c r="AM13" s="150"/>
      <c r="AN13" s="150" t="str">
        <f t="shared" si="0"/>
        <v>Добавить территорию для дифференциации</v>
      </c>
      <c r="AO13" s="150"/>
      <c r="AP13" s="150"/>
      <c r="AQ13" s="43">
        <v>0</v>
      </c>
    </row>
    <row r="14" hidden="1" customHeight="1" spans="43:43">
      <c r="AQ14" s="42">
        <v>0</v>
      </c>
    </row>
    <row r="15" hidden="1" customHeight="1" spans="29:43">
      <c r="AC15" s="489"/>
      <c r="AD15" s="489"/>
      <c r="AE15" s="1118"/>
      <c r="AF15" s="1119"/>
      <c r="AG15" s="352" t="s">
        <v>62</v>
      </c>
      <c r="AH15" s="1119"/>
      <c r="AI15" s="352" t="s">
        <v>62</v>
      </c>
      <c r="AQ15" s="42">
        <v>0</v>
      </c>
    </row>
    <row r="16" hidden="1" customHeight="1" spans="29:43">
      <c r="AC16" s="489"/>
      <c r="AD16" s="489"/>
      <c r="AE16" s="141" t="str">
        <f>AF15&amp;"-"&amp;AH15</f>
        <v>-</v>
      </c>
      <c r="AF16" s="352"/>
      <c r="AG16" s="352"/>
      <c r="AH16" s="352"/>
      <c r="AI16" s="352"/>
      <c r="AQ16" s="42">
        <v>0</v>
      </c>
    </row>
    <row r="17" hidden="1" customHeight="1" spans="43:43">
      <c r="AQ17" s="42">
        <v>0</v>
      </c>
    </row>
    <row r="18" s="37" customFormat="1" ht="22.5" hidden="1" customHeight="1" spans="12:43">
      <c r="L18" s="47"/>
      <c r="M18" s="38"/>
      <c r="N18" s="38"/>
      <c r="O18" s="1046" t="s">
        <v>420</v>
      </c>
      <c r="P18" s="38"/>
      <c r="Q18" s="1037"/>
      <c r="R18" s="1037"/>
      <c r="S18" s="46"/>
      <c r="Y18" s="1046"/>
      <c r="AA18" s="1046"/>
      <c r="AF18" s="1046"/>
      <c r="AH18" s="1046"/>
      <c r="AL18" s="43"/>
      <c r="AM18" s="43"/>
      <c r="AN18" s="43"/>
      <c r="AO18" s="43"/>
      <c r="AP18" s="43"/>
      <c r="AQ18" s="37">
        <v>0</v>
      </c>
    </row>
    <row r="19" s="37" customFormat="1" hidden="1" customHeight="1" spans="12:43">
      <c r="L19" s="47"/>
      <c r="M19" s="38"/>
      <c r="N19" s="38"/>
      <c r="O19" s="38"/>
      <c r="P19" s="38"/>
      <c r="Q19" s="1037"/>
      <c r="R19" s="1037"/>
      <c r="S19" s="46"/>
      <c r="AL19" s="43"/>
      <c r="AM19" s="43"/>
      <c r="AN19" s="43"/>
      <c r="AO19" s="43"/>
      <c r="AP19" s="43"/>
      <c r="AQ19" s="37">
        <v>0</v>
      </c>
    </row>
    <row r="20" s="37" customFormat="1" ht="12" hidden="1" customHeight="1" spans="12:43">
      <c r="L20" s="47"/>
      <c r="M20" s="38"/>
      <c r="N20" s="38"/>
      <c r="O20" s="1040" t="s">
        <v>421</v>
      </c>
      <c r="P20" s="38"/>
      <c r="Q20" s="1115"/>
      <c r="R20" s="1115"/>
      <c r="S20" s="46"/>
      <c r="T20" s="37" t="s">
        <v>422</v>
      </c>
      <c r="Z20" s="44" t="s">
        <v>423</v>
      </c>
      <c r="AB20" s="44" t="s">
        <v>424</v>
      </c>
      <c r="AC20" s="37" t="s">
        <v>422</v>
      </c>
      <c r="AG20" s="44" t="s">
        <v>425</v>
      </c>
      <c r="AI20" s="44" t="s">
        <v>424</v>
      </c>
      <c r="AQ20" s="37">
        <v>0</v>
      </c>
    </row>
    <row r="21" hidden="1" customHeight="1" spans="15:43">
      <c r="O21" s="1040"/>
      <c r="AQ21" s="42">
        <v>0</v>
      </c>
    </row>
    <row r="22" hidden="1" customHeight="1" spans="15:43">
      <c r="O22" s="1040"/>
      <c r="AQ22" s="42">
        <v>0</v>
      </c>
    </row>
    <row r="23" ht="14.7" customHeight="1" spans="17:43">
      <c r="Q23" s="50"/>
      <c r="R23" s="50"/>
      <c r="S23" s="51"/>
      <c r="T23" s="52"/>
      <c r="U23" s="52"/>
      <c r="AQ23" s="42">
        <v>14</v>
      </c>
    </row>
    <row r="24" ht="14.7" customHeight="1" spans="17:43">
      <c r="Q24" s="50"/>
      <c r="R24" s="50"/>
      <c r="S24" s="75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750"/>
      <c r="U24" s="750"/>
      <c r="V24" s="750"/>
      <c r="W24" s="750"/>
      <c r="X24" s="750"/>
      <c r="Y24" s="750"/>
      <c r="Z24" s="750"/>
      <c r="AA24" s="750"/>
      <c r="AB24" s="750"/>
      <c r="AC24" s="750"/>
      <c r="AD24" s="750"/>
      <c r="AE24" s="750"/>
      <c r="AF24" s="750"/>
      <c r="AG24" s="750"/>
      <c r="AH24" s="750"/>
      <c r="AI24" s="120"/>
      <c r="AQ24" s="42">
        <v>14</v>
      </c>
    </row>
    <row r="25" ht="14.7" customHeight="1" spans="17:43">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120"/>
      <c r="AQ25" s="42">
        <v>14</v>
      </c>
    </row>
    <row r="26" customHeight="1" spans="17:43">
      <c r="Q26" s="50"/>
      <c r="R26" s="50"/>
      <c r="S26" s="51"/>
      <c r="T26" s="52"/>
      <c r="U26" s="52"/>
      <c r="V26" s="55"/>
      <c r="W26" s="55"/>
      <c r="X26" s="55"/>
      <c r="Y26" s="55"/>
      <c r="Z26" s="55"/>
      <c r="AA26" s="55"/>
      <c r="AB26" s="55"/>
      <c r="AC26" s="55"/>
      <c r="AD26" s="55"/>
      <c r="AE26" s="55"/>
      <c r="AF26" s="55"/>
      <c r="AG26" s="55"/>
      <c r="AH26" s="55"/>
      <c r="AI26" s="55"/>
      <c r="AQ26" s="42">
        <v>0</v>
      </c>
    </row>
    <row r="27" s="35" customFormat="1" ht="25.5" customHeight="1" spans="1:43">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РТ по тарифам</v>
      </c>
      <c r="W27" s="59"/>
      <c r="X27" s="59"/>
      <c r="Y27" s="59"/>
      <c r="Z27" s="59"/>
      <c r="AA27" s="59"/>
      <c r="AB27" s="42"/>
      <c r="AC27" s="59" t="str">
        <f>IF(TITLE_NAME_OR_PR_CHANGE="",IF(TITLE_NAME_OR_PR="","",TITLE_NAME_OR_PR),TITLE_NAME_OR_PR_CHANGE)</f>
        <v>Государственный комитет РТ по тарифам</v>
      </c>
      <c r="AD27" s="59"/>
      <c r="AE27" s="59"/>
      <c r="AF27" s="59"/>
      <c r="AG27" s="59"/>
      <c r="AH27" s="59"/>
      <c r="AI27" s="42"/>
      <c r="AJ27" s="42"/>
      <c r="AK27" s="121"/>
      <c r="AL27" s="150"/>
      <c r="AM27" s="150"/>
      <c r="AN27" s="150"/>
      <c r="AO27" s="150"/>
      <c r="AP27" s="150"/>
      <c r="AQ27" s="35">
        <v>0</v>
      </c>
    </row>
    <row r="28" s="35" customFormat="1" ht="18.75" customHeight="1" spans="1:43">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42"/>
      <c r="AC28" s="788">
        <f>IF(TITLE_DATE_PR_CHANGE="",IF(TITLE_DATE_PR="","",TITLE_DATE_PR),TITLE_DATE_PR_CHANGE)</f>
        <v>45525</v>
      </c>
      <c r="AD28" s="788"/>
      <c r="AE28" s="788"/>
      <c r="AF28" s="788"/>
      <c r="AG28" s="788"/>
      <c r="AH28" s="788"/>
      <c r="AI28" s="42"/>
      <c r="AJ28" s="42"/>
      <c r="AK28" s="121"/>
      <c r="AL28" s="150"/>
      <c r="AM28" s="150"/>
      <c r="AN28" s="150"/>
      <c r="AO28" s="150"/>
      <c r="AP28" s="150"/>
      <c r="AQ28" s="35">
        <v>0</v>
      </c>
    </row>
    <row r="29" s="35" customFormat="1" ht="18.75" customHeight="1" spans="1:43">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108-73/тп-2024</v>
      </c>
      <c r="W29" s="59"/>
      <c r="X29" s="59"/>
      <c r="Y29" s="59"/>
      <c r="Z29" s="59"/>
      <c r="AA29" s="59"/>
      <c r="AB29" s="42"/>
      <c r="AC29" s="59" t="str">
        <f>IF(TITLE_NUMBER_PR_CHANGE="",IF(TITLE_NUMBER_PR="","",TITLE_NUMBER_PR),TITLE_NUMBER_PR_CHANGE)</f>
        <v>108-73/тп-2024</v>
      </c>
      <c r="AD29" s="59"/>
      <c r="AE29" s="59"/>
      <c r="AF29" s="59"/>
      <c r="AG29" s="59"/>
      <c r="AH29" s="59"/>
      <c r="AI29" s="42"/>
      <c r="AJ29" s="42"/>
      <c r="AK29" s="121"/>
      <c r="AL29" s="150"/>
      <c r="AM29" s="150"/>
      <c r="AN29" s="150"/>
      <c r="AO29" s="150"/>
      <c r="AP29" s="150"/>
      <c r="AQ29" s="35">
        <v>0</v>
      </c>
    </row>
    <row r="30" s="35" customFormat="1" ht="18.75" customHeight="1" spans="1:43">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
Республики Татарстан"</v>
      </c>
      <c r="W30" s="59"/>
      <c r="X30" s="59"/>
      <c r="Y30" s="59"/>
      <c r="Z30" s="59"/>
      <c r="AA30" s="59"/>
      <c r="AB30" s="42"/>
      <c r="AC30" s="59" t="str">
        <f>IF(TITLE_IST_PUB_CHANGE="",IF(TITLE_IST_PUB="","",TITLE_IST_PUB),TITLE_IST_PUB_CHANGE)</f>
        <v>"Официальный портал правовой информации
Республики Татарстан"</v>
      </c>
      <c r="AD30" s="59"/>
      <c r="AE30" s="59"/>
      <c r="AF30" s="59"/>
      <c r="AG30" s="59"/>
      <c r="AH30" s="59"/>
      <c r="AI30" s="42"/>
      <c r="AJ30" s="42"/>
      <c r="AK30" s="121"/>
      <c r="AL30" s="150"/>
      <c r="AM30" s="150"/>
      <c r="AN30" s="150"/>
      <c r="AO30" s="150"/>
      <c r="AP30" s="150"/>
      <c r="AQ30" s="35">
        <v>0</v>
      </c>
    </row>
    <row r="31" hidden="1" customHeight="1" spans="17:43">
      <c r="Q31" s="50"/>
      <c r="R31" s="50"/>
      <c r="S31" s="51"/>
      <c r="T31" s="52"/>
      <c r="U31" s="52"/>
      <c r="V31" s="55"/>
      <c r="W31" s="55"/>
      <c r="X31" s="55"/>
      <c r="Y31" s="55"/>
      <c r="Z31" s="55"/>
      <c r="AA31" s="55"/>
      <c r="AB31" s="55"/>
      <c r="AC31" s="55"/>
      <c r="AD31" s="55"/>
      <c r="AE31" s="55"/>
      <c r="AF31" s="55"/>
      <c r="AG31" s="55"/>
      <c r="AH31" s="55"/>
      <c r="AI31" s="55"/>
      <c r="AQ31" s="42">
        <v>0</v>
      </c>
    </row>
    <row r="32" s="35" customFormat="1" ht="18.75" hidden="1" customHeight="1" spans="1:43">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42"/>
      <c r="AC32" s="788">
        <f>IF(TITLE_DATE_PR_CHANGE="",IF(TITLE_DATE_PR="","",TITLE_DATE_PR),TITLE_DATE_PR_CHANGE)</f>
        <v>45525</v>
      </c>
      <c r="AD32" s="788"/>
      <c r="AE32" s="788"/>
      <c r="AF32" s="788"/>
      <c r="AG32" s="788"/>
      <c r="AH32" s="788"/>
      <c r="AI32" s="42"/>
      <c r="AJ32" s="42"/>
      <c r="AK32" s="121"/>
      <c r="AL32" s="150"/>
      <c r="AM32" s="150"/>
      <c r="AN32" s="150"/>
      <c r="AO32" s="150"/>
      <c r="AP32" s="150"/>
      <c r="AQ32" s="35">
        <v>0</v>
      </c>
    </row>
    <row r="33" s="35" customFormat="1" ht="18.75" hidden="1" customHeight="1" spans="1:43">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108-73/тп-2024</v>
      </c>
      <c r="W33" s="59"/>
      <c r="X33" s="59"/>
      <c r="Y33" s="59"/>
      <c r="Z33" s="59"/>
      <c r="AA33" s="59"/>
      <c r="AB33" s="42"/>
      <c r="AC33" s="59" t="str">
        <f>IF(TITLE_NUMBER_PR_CHANGE="",IF(TITLE_NUMBER_PR="","",TITLE_NUMBER_PR),TITLE_NUMBER_PR_CHANGE)</f>
        <v>108-73/тп-2024</v>
      </c>
      <c r="AD33" s="59"/>
      <c r="AE33" s="59"/>
      <c r="AF33" s="59"/>
      <c r="AG33" s="59"/>
      <c r="AH33" s="59"/>
      <c r="AI33" s="42"/>
      <c r="AJ33" s="42"/>
      <c r="AK33" s="121"/>
      <c r="AL33" s="150"/>
      <c r="AM33" s="150"/>
      <c r="AN33" s="150"/>
      <c r="AO33" s="150"/>
      <c r="AP33" s="150"/>
      <c r="AQ33" s="35">
        <v>0</v>
      </c>
    </row>
    <row r="34" s="35" customFormat="1" ht="1.05" customHeight="1" spans="1:43">
      <c r="A34" s="44"/>
      <c r="B34" s="44"/>
      <c r="C34" s="44"/>
      <c r="D34" s="44"/>
      <c r="E34" s="44"/>
      <c r="F34" s="44"/>
      <c r="G34" s="44"/>
      <c r="H34" s="44"/>
      <c r="I34" s="44"/>
      <c r="J34" s="44"/>
      <c r="K34" s="44"/>
      <c r="L34" s="1040"/>
      <c r="M34" s="44"/>
      <c r="N34" s="44"/>
      <c r="O34" s="44"/>
      <c r="S34" s="42"/>
      <c r="T34" s="42"/>
      <c r="U34" s="60"/>
      <c r="V34" s="42"/>
      <c r="W34" s="42"/>
      <c r="X34" s="42"/>
      <c r="Y34" s="42"/>
      <c r="Z34" s="42"/>
      <c r="AA34" s="42"/>
      <c r="AB34" s="43" t="s">
        <v>430</v>
      </c>
      <c r="AC34" s="42"/>
      <c r="AD34" s="42"/>
      <c r="AE34" s="42"/>
      <c r="AF34" s="42"/>
      <c r="AG34" s="42"/>
      <c r="AH34" s="42"/>
      <c r="AI34" s="43" t="s">
        <v>430</v>
      </c>
      <c r="AL34" s="150"/>
      <c r="AM34" s="150"/>
      <c r="AN34" s="150"/>
      <c r="AO34" s="150"/>
      <c r="AP34" s="150"/>
      <c r="AQ34" s="35">
        <v>1</v>
      </c>
    </row>
    <row r="35" ht="14.7" customHeight="1" spans="17:43">
      <c r="Q35" s="50"/>
      <c r="R35" s="50"/>
      <c r="S35" s="51"/>
      <c r="T35" s="52"/>
      <c r="U35" s="61"/>
      <c r="V35" s="62"/>
      <c r="W35" s="62"/>
      <c r="X35" s="62"/>
      <c r="Y35" s="62"/>
      <c r="Z35" s="62"/>
      <c r="AA35" s="62"/>
      <c r="AB35" s="62"/>
      <c r="AC35" s="62"/>
      <c r="AD35" s="62"/>
      <c r="AE35" s="62"/>
      <c r="AF35" s="62"/>
      <c r="AG35" s="62"/>
      <c r="AH35" s="62"/>
      <c r="AI35" s="62"/>
      <c r="AQ35" s="42">
        <v>14</v>
      </c>
    </row>
    <row r="36" ht="14.7" customHeight="1" spans="17:43">
      <c r="Q36" s="50"/>
      <c r="R36" s="50"/>
      <c r="S36" s="63" t="s">
        <v>305</v>
      </c>
      <c r="T36" s="63"/>
      <c r="U36" s="63"/>
      <c r="V36" s="63"/>
      <c r="W36" s="63"/>
      <c r="X36" s="63"/>
      <c r="Y36" s="63"/>
      <c r="Z36" s="63"/>
      <c r="AA36" s="63"/>
      <c r="AB36" s="63"/>
      <c r="AC36" s="63"/>
      <c r="AD36" s="63"/>
      <c r="AE36" s="63"/>
      <c r="AF36" s="63"/>
      <c r="AG36" s="63"/>
      <c r="AH36" s="63"/>
      <c r="AI36" s="63"/>
      <c r="AJ36" s="63"/>
      <c r="AK36" s="63" t="s">
        <v>306</v>
      </c>
      <c r="AQ36" s="42">
        <v>14</v>
      </c>
    </row>
    <row r="37" ht="14.7" customHeight="1" spans="17:43">
      <c r="Q37" s="50"/>
      <c r="R37" s="50"/>
      <c r="S37" s="64" t="s">
        <v>89</v>
      </c>
      <c r="T37" s="65" t="s">
        <v>431</v>
      </c>
      <c r="U37" s="66"/>
      <c r="V37" s="67" t="s">
        <v>432</v>
      </c>
      <c r="W37" s="68"/>
      <c r="X37" s="68"/>
      <c r="Y37" s="68"/>
      <c r="Z37" s="68"/>
      <c r="AA37" s="122"/>
      <c r="AB37" s="123" t="s">
        <v>433</v>
      </c>
      <c r="AC37" s="67" t="s">
        <v>432</v>
      </c>
      <c r="AD37" s="68"/>
      <c r="AE37" s="68"/>
      <c r="AF37" s="68"/>
      <c r="AG37" s="68"/>
      <c r="AH37" s="122"/>
      <c r="AI37" s="123" t="s">
        <v>434</v>
      </c>
      <c r="AJ37" s="124" t="s">
        <v>435</v>
      </c>
      <c r="AK37" s="63"/>
      <c r="AQ37" s="42">
        <v>14</v>
      </c>
    </row>
    <row r="38" ht="35.7" customHeight="1" spans="17:43">
      <c r="Q38" s="50"/>
      <c r="R38" s="50"/>
      <c r="S38" s="64"/>
      <c r="T38" s="65"/>
      <c r="U38" s="69"/>
      <c r="V38" s="70" t="s">
        <v>491</v>
      </c>
      <c r="W38" s="125" t="s">
        <v>438</v>
      </c>
      <c r="X38" s="126"/>
      <c r="Y38" s="125" t="s">
        <v>439</v>
      </c>
      <c r="Z38" s="127"/>
      <c r="AA38" s="126"/>
      <c r="AB38" s="128"/>
      <c r="AC38" s="70" t="s">
        <v>491</v>
      </c>
      <c r="AD38" s="125" t="s">
        <v>438</v>
      </c>
      <c r="AE38" s="126"/>
      <c r="AF38" s="125" t="s">
        <v>439</v>
      </c>
      <c r="AG38" s="127"/>
      <c r="AH38" s="126"/>
      <c r="AI38" s="128"/>
      <c r="AJ38" s="129"/>
      <c r="AK38" s="63"/>
      <c r="AQ38" s="42">
        <v>34</v>
      </c>
    </row>
    <row r="39" ht="90.3" customHeight="1" spans="1:43">
      <c r="A39" s="44"/>
      <c r="B39" s="44" t="s">
        <v>137</v>
      </c>
      <c r="C39" s="44" t="s">
        <v>138</v>
      </c>
      <c r="D39" s="44" t="s">
        <v>139</v>
      </c>
      <c r="E39" s="1040" t="s">
        <v>440</v>
      </c>
      <c r="F39" s="1040" t="s">
        <v>441</v>
      </c>
      <c r="G39" s="1040" t="s">
        <v>442</v>
      </c>
      <c r="H39" s="1040"/>
      <c r="I39" s="1040" t="s">
        <v>492</v>
      </c>
      <c r="J39" s="1040" t="s">
        <v>445</v>
      </c>
      <c r="K39" s="1040" t="s">
        <v>493</v>
      </c>
      <c r="L39" s="1040" t="s">
        <v>421</v>
      </c>
      <c r="Q39" s="50"/>
      <c r="R39" s="50"/>
      <c r="S39" s="64"/>
      <c r="T39" s="65"/>
      <c r="U39" s="71"/>
      <c r="V39" s="70" t="s">
        <v>528</v>
      </c>
      <c r="W39" s="130" t="s">
        <v>529</v>
      </c>
      <c r="X39" s="130" t="s">
        <v>496</v>
      </c>
      <c r="Y39" s="130" t="s">
        <v>449</v>
      </c>
      <c r="Z39" s="131" t="s">
        <v>450</v>
      </c>
      <c r="AA39" s="132"/>
      <c r="AB39" s="133"/>
      <c r="AC39" s="70" t="s">
        <v>528</v>
      </c>
      <c r="AD39" s="130" t="s">
        <v>529</v>
      </c>
      <c r="AE39" s="130" t="s">
        <v>496</v>
      </c>
      <c r="AF39" s="130" t="s">
        <v>449</v>
      </c>
      <c r="AG39" s="131" t="s">
        <v>450</v>
      </c>
      <c r="AH39" s="132"/>
      <c r="AI39" s="133"/>
      <c r="AJ39" s="134"/>
      <c r="AK39" s="63"/>
      <c r="AQ39" s="42">
        <v>86</v>
      </c>
    </row>
    <row r="40" s="36" customFormat="1" hidden="1" customHeight="1" spans="1:43">
      <c r="A40" s="44"/>
      <c r="B40" s="44"/>
      <c r="C40" s="44"/>
      <c r="D40" s="44"/>
      <c r="E40" s="44"/>
      <c r="F40" s="44"/>
      <c r="G40" s="44"/>
      <c r="H40" s="44"/>
      <c r="I40" s="44"/>
      <c r="J40" s="44"/>
      <c r="K40" s="44"/>
      <c r="L40" s="1040"/>
      <c r="M40" s="38"/>
      <c r="N40" s="38"/>
      <c r="O40" s="38"/>
      <c r="P40" s="73"/>
      <c r="Q40" s="74"/>
      <c r="R40" s="75">
        <v>1</v>
      </c>
      <c r="S40" s="76" t="s">
        <v>111</v>
      </c>
      <c r="T40" s="77" t="s">
        <v>112</v>
      </c>
      <c r="U40" s="78" t="str">
        <f ca="1">OFFSET(U40,0,-1)</f>
        <v>2</v>
      </c>
      <c r="V40" s="79">
        <f ca="1">OFFSET(V40,0,-1)+1</f>
        <v>3</v>
      </c>
      <c r="W40" s="79">
        <f ca="1">OFFSET(W40,0,-1)+1</f>
        <v>4</v>
      </c>
      <c r="X40" s="79">
        <f ca="1">OFFSET(X40,0,-1)+1</f>
        <v>5</v>
      </c>
      <c r="Y40" s="79">
        <f ca="1">OFFSET(Y40,0,-1)+1</f>
        <v>6</v>
      </c>
      <c r="Z40" s="79">
        <f ca="1">OFFSET(Z40,0,-1)+1</f>
        <v>7</v>
      </c>
      <c r="AA40" s="79"/>
      <c r="AB40" s="79">
        <f ca="1">OFFSET(AB40,0,-2)+1</f>
        <v>8</v>
      </c>
      <c r="AC40" s="79">
        <f ca="1">OFFSET(AC40,0,-1)+1</f>
        <v>9</v>
      </c>
      <c r="AD40" s="79">
        <f ca="1">OFFSET(AD40,0,-1)+1</f>
        <v>10</v>
      </c>
      <c r="AE40" s="79">
        <f ca="1">OFFSET(AE40,0,-1)+1</f>
        <v>11</v>
      </c>
      <c r="AF40" s="79">
        <f ca="1">OFFSET(AF40,0,-1)+1</f>
        <v>12</v>
      </c>
      <c r="AG40" s="79">
        <f ca="1">OFFSET(AG40,0,-1)+1</f>
        <v>13</v>
      </c>
      <c r="AH40" s="79"/>
      <c r="AI40" s="79">
        <f ca="1">OFFSET(AI40,0,-2)+1</f>
        <v>14</v>
      </c>
      <c r="AJ40" s="78">
        <f ca="1">OFFSET(AJ40,0,-1)</f>
        <v>14</v>
      </c>
      <c r="AK40" s="79">
        <f ca="1">OFFSET(AK40,0,-1)+1</f>
        <v>15</v>
      </c>
      <c r="AL40" s="43"/>
      <c r="AM40" s="43"/>
      <c r="AN40" s="43"/>
      <c r="AO40" s="43"/>
      <c r="AP40" s="43"/>
      <c r="AQ40" s="36">
        <v>0</v>
      </c>
    </row>
    <row r="41" ht="24" customHeight="1" spans="1:43">
      <c r="A41" s="45" t="s">
        <v>276</v>
      </c>
      <c r="B41" s="45"/>
      <c r="C41" s="45"/>
      <c r="D41" s="45"/>
      <c r="E41" s="1038">
        <v>1</v>
      </c>
      <c r="F41" s="45"/>
      <c r="G41" s="45"/>
      <c r="H41" s="45"/>
      <c r="I41" s="45"/>
      <c r="J41" s="45"/>
      <c r="K41" s="45"/>
      <c r="L41" s="1040"/>
      <c r="M41" s="46"/>
      <c r="N41" s="46"/>
      <c r="O41" s="46"/>
      <c r="Q41" s="80"/>
      <c r="R41" s="81"/>
      <c r="S41" s="64">
        <f>INDEX(PT_DIFFERENTIATION_NUM_NTAR,MATCH(A41,PT_DIFFERENTIATION_NTAR_ID,0))</f>
        <v>0</v>
      </c>
      <c r="T41" s="82" t="s">
        <v>125</v>
      </c>
      <c r="U41" s="83"/>
      <c r="V41" s="1076"/>
      <c r="W41" s="1047"/>
      <c r="X41" s="1047"/>
      <c r="Y41" s="1047"/>
      <c r="Z41" s="1047"/>
      <c r="AA41" s="1047"/>
      <c r="AB41" s="1075"/>
      <c r="AC41" s="1076" t="str">
        <f>INDEX(PT_DIFFERENTIATION_NTAR,MATCH(A41,PT_DIFFERENTIATION_NTAR_ID,0))</f>
        <v/>
      </c>
      <c r="AD41" s="1047"/>
      <c r="AE41" s="1047"/>
      <c r="AF41" s="1047"/>
      <c r="AG41" s="1047"/>
      <c r="AH41" s="1047"/>
      <c r="AI41" s="1047"/>
      <c r="AJ41" s="1075"/>
      <c r="AK41"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150"/>
      <c r="AN41" s="150" t="str">
        <f t="shared" ref="AN41:AN53" si="1">IF(T41="","",T41)</f>
        <v>Наименование тарифа</v>
      </c>
      <c r="AO41" s="150"/>
      <c r="AP41" s="150"/>
      <c r="AQ41" s="42">
        <v>23</v>
      </c>
    </row>
    <row r="42" ht="24" customHeight="1" spans="1:43">
      <c r="A42" s="45" t="s">
        <v>276</v>
      </c>
      <c r="B42" s="45" t="s">
        <v>277</v>
      </c>
      <c r="C42" s="45"/>
      <c r="D42" s="45"/>
      <c r="E42" s="1039"/>
      <c r="F42" s="1038">
        <v>1</v>
      </c>
      <c r="G42" s="45"/>
      <c r="H42" s="45"/>
      <c r="I42" s="45"/>
      <c r="J42" s="45"/>
      <c r="K42" s="45"/>
      <c r="L42" s="1040"/>
      <c r="M42" s="46"/>
      <c r="N42" s="46"/>
      <c r="O42" s="46"/>
      <c r="P42" s="85"/>
      <c r="Q42" s="86"/>
      <c r="R42" s="87"/>
      <c r="S42" s="64" t="str">
        <f>INDEX(PT_DIFFERENTIATION_NUM_TER,MATCH(B42,PT_DIFFERENTIATION_TER_ID,0))</f>
        <v>.</v>
      </c>
      <c r="T42" s="88" t="s">
        <v>402</v>
      </c>
      <c r="U42" s="83"/>
      <c r="V42" s="1076"/>
      <c r="W42" s="1047"/>
      <c r="X42" s="1047"/>
      <c r="Y42" s="1047"/>
      <c r="Z42" s="1047"/>
      <c r="AA42" s="1047"/>
      <c r="AB42" s="1075"/>
      <c r="AC42" s="1076" t="str">
        <f>INDEX(PT_DIFFERENTIATION_TER,MATCH(B42,PT_DIFFERENTIATION_TER_ID,0))</f>
        <v/>
      </c>
      <c r="AD42" s="1047"/>
      <c r="AE42" s="1047"/>
      <c r="AF42" s="1047"/>
      <c r="AG42" s="1047"/>
      <c r="AH42" s="1047"/>
      <c r="AI42" s="1047"/>
      <c r="AJ42" s="1075"/>
      <c r="AK42" s="135" t="s">
        <v>403</v>
      </c>
      <c r="AM42" s="150"/>
      <c r="AN42" s="150" t="str">
        <f t="shared" si="1"/>
        <v>Территория действия тарифа</v>
      </c>
      <c r="AO42" s="150"/>
      <c r="AP42" s="150"/>
      <c r="AQ42" s="42">
        <v>23</v>
      </c>
    </row>
    <row r="43" ht="24" customHeight="1" spans="1:43">
      <c r="A43" s="45" t="s">
        <v>276</v>
      </c>
      <c r="B43" s="45" t="s">
        <v>277</v>
      </c>
      <c r="C43" s="45" t="s">
        <v>278</v>
      </c>
      <c r="D43" s="45"/>
      <c r="E43" s="1039"/>
      <c r="F43" s="1039"/>
      <c r="G43" s="1038">
        <v>1</v>
      </c>
      <c r="H43" s="45"/>
      <c r="I43" s="45"/>
      <c r="J43" s="45"/>
      <c r="K43" s="45"/>
      <c r="L43" s="1040"/>
      <c r="M43" s="46"/>
      <c r="N43" s="46"/>
      <c r="O43" s="46"/>
      <c r="P43" s="89"/>
      <c r="Q43" s="86"/>
      <c r="R43" s="87"/>
      <c r="S43" s="64" t="str">
        <f>INDEX(PT_DIFFERENTIATION_NUM_CS,MATCH(C43,PT_DIFFERENTIATION_CS_ID,0))</f>
        <v>..</v>
      </c>
      <c r="T43" s="90" t="s">
        <v>526</v>
      </c>
      <c r="U43" s="83"/>
      <c r="V43" s="1076"/>
      <c r="W43" s="1047"/>
      <c r="X43" s="1047"/>
      <c r="Y43" s="1047"/>
      <c r="Z43" s="1047"/>
      <c r="AA43" s="1047"/>
      <c r="AB43" s="1075"/>
      <c r="AC43" s="1076" t="str">
        <f>INDEX(PT_DIFFERENTIATION_CS,MATCH(C43,PT_DIFFERENTIATION_CS_ID,0))</f>
        <v/>
      </c>
      <c r="AD43" s="1047"/>
      <c r="AE43" s="1047"/>
      <c r="AF43" s="1047"/>
      <c r="AG43" s="1047"/>
      <c r="AH43" s="1047"/>
      <c r="AI43" s="1047"/>
      <c r="AJ43" s="1075"/>
      <c r="AK43" s="135" t="s">
        <v>527</v>
      </c>
      <c r="AM43" s="150"/>
      <c r="AN43" s="150" t="str">
        <f t="shared" si="1"/>
        <v>Наименование централизованной системы водоотведения</v>
      </c>
      <c r="AO43" s="150"/>
      <c r="AP43" s="150"/>
      <c r="AQ43" s="42">
        <v>23</v>
      </c>
    </row>
    <row r="44" ht="24" customHeight="1" spans="1:43">
      <c r="A44" s="45" t="s">
        <v>276</v>
      </c>
      <c r="B44" s="45" t="s">
        <v>277</v>
      </c>
      <c r="C44" s="45" t="s">
        <v>278</v>
      </c>
      <c r="D44" s="45" t="s">
        <v>531</v>
      </c>
      <c r="E44" s="1039"/>
      <c r="F44" s="1039"/>
      <c r="G44" s="1039"/>
      <c r="H44" s="1039"/>
      <c r="I44" s="228" t="str">
        <f>S43&amp;".1"</f>
        <v>...1</v>
      </c>
      <c r="J44" s="45"/>
      <c r="K44" s="45"/>
      <c r="L44" s="1040"/>
      <c r="P44" s="92">
        <v>1</v>
      </c>
      <c r="Q44" s="92"/>
      <c r="R44" s="93"/>
      <c r="S44" s="64" t="str">
        <f>$I44</f>
        <v>...1</v>
      </c>
      <c r="T44" s="94" t="s">
        <v>485</v>
      </c>
      <c r="U44" s="83"/>
      <c r="V44" s="1112"/>
      <c r="W44" s="1113"/>
      <c r="X44" s="1113"/>
      <c r="Y44" s="1113"/>
      <c r="Z44" s="1113"/>
      <c r="AA44" s="1113"/>
      <c r="AB44" s="1117"/>
      <c r="AC44" s="821"/>
      <c r="AD44" s="1120"/>
      <c r="AE44" s="1120"/>
      <c r="AF44" s="1120"/>
      <c r="AG44" s="1120"/>
      <c r="AH44" s="1120"/>
      <c r="AI44" s="1120"/>
      <c r="AJ44" s="1121"/>
      <c r="AK44" s="135" t="s">
        <v>486</v>
      </c>
      <c r="AM44" s="150"/>
      <c r="AN44" s="150" t="str">
        <f t="shared" si="1"/>
        <v>Наименование признака дифференциации</v>
      </c>
      <c r="AO44" s="150"/>
      <c r="AP44" s="150"/>
      <c r="AQ44" s="42">
        <v>23</v>
      </c>
    </row>
    <row r="45" ht="24" customHeight="1" spans="1:43">
      <c r="A45" s="45" t="s">
        <v>276</v>
      </c>
      <c r="B45" s="45" t="s">
        <v>277</v>
      </c>
      <c r="C45" s="45" t="s">
        <v>278</v>
      </c>
      <c r="D45" s="45" t="s">
        <v>531</v>
      </c>
      <c r="E45" s="1039"/>
      <c r="F45" s="1039"/>
      <c r="G45" s="1039"/>
      <c r="H45" s="1039"/>
      <c r="I45" s="1044"/>
      <c r="J45" s="228" t="str">
        <f>I44&amp;".1"</f>
        <v>...1.1</v>
      </c>
      <c r="K45" s="45"/>
      <c r="L45" s="1040" t="s">
        <v>411</v>
      </c>
      <c r="P45" s="92"/>
      <c r="Q45" s="92">
        <v>1</v>
      </c>
      <c r="R45" s="96"/>
      <c r="S45" s="64" t="str">
        <f>$J45</f>
        <v>...1.1</v>
      </c>
      <c r="T45" s="97" t="s">
        <v>412</v>
      </c>
      <c r="U45" s="83"/>
      <c r="V45" s="98"/>
      <c r="W45" s="99"/>
      <c r="X45" s="99"/>
      <c r="Y45" s="99"/>
      <c r="Z45" s="99"/>
      <c r="AA45" s="99"/>
      <c r="AB45" s="136"/>
      <c r="AC45" s="98"/>
      <c r="AD45" s="99"/>
      <c r="AE45" s="99"/>
      <c r="AF45" s="99"/>
      <c r="AG45" s="99"/>
      <c r="AH45" s="99"/>
      <c r="AI45" s="99"/>
      <c r="AJ45" s="136"/>
      <c r="AK45" s="1122" t="s">
        <v>487</v>
      </c>
      <c r="AM45" s="150"/>
      <c r="AN45" s="150" t="str">
        <f t="shared" si="1"/>
        <v>Группа потребителей</v>
      </c>
      <c r="AO45" s="150"/>
      <c r="AP45" s="150"/>
      <c r="AQ45" s="42">
        <v>23</v>
      </c>
    </row>
    <row r="46" ht="24" customHeight="1" spans="1:43">
      <c r="A46" s="45" t="s">
        <v>276</v>
      </c>
      <c r="B46" s="45" t="s">
        <v>277</v>
      </c>
      <c r="C46" s="45" t="s">
        <v>278</v>
      </c>
      <c r="D46" s="45" t="s">
        <v>531</v>
      </c>
      <c r="E46" s="1039"/>
      <c r="F46" s="1039"/>
      <c r="G46" s="1039"/>
      <c r="H46" s="1039"/>
      <c r="I46" s="1044"/>
      <c r="J46" s="1044"/>
      <c r="K46" s="228" t="str">
        <f>J45&amp;".1"</f>
        <v>...1.1.1</v>
      </c>
      <c r="L46" s="1040"/>
      <c r="P46" s="92"/>
      <c r="Q46" s="92"/>
      <c r="R46" s="96">
        <v>1</v>
      </c>
      <c r="S46" s="64" t="str">
        <f>$K46</f>
        <v>...1.1.1</v>
      </c>
      <c r="T46" s="1114"/>
      <c r="U46" s="83"/>
      <c r="V46" s="489"/>
      <c r="W46" s="489"/>
      <c r="X46" s="1118"/>
      <c r="Y46" s="1119"/>
      <c r="Z46" s="352" t="s">
        <v>62</v>
      </c>
      <c r="AA46" s="1119"/>
      <c r="AB46" s="352" t="s">
        <v>62</v>
      </c>
      <c r="AC46" s="101"/>
      <c r="AD46" s="101"/>
      <c r="AE46" s="137"/>
      <c r="AF46" s="138"/>
      <c r="AG46" s="139" t="s">
        <v>62</v>
      </c>
      <c r="AH46" s="1123"/>
      <c r="AI46" s="139" t="s">
        <v>19</v>
      </c>
      <c r="AJ46" s="1124"/>
      <c r="AK46"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 t="e">
        <f>STRCHECKDATE(V47:AJ47)</f>
        <v>#NAME?</v>
      </c>
      <c r="AM46" s="150"/>
      <c r="AN46" s="150" t="str">
        <f t="shared" si="1"/>
        <v/>
      </c>
      <c r="AO46" s="150"/>
      <c r="AP46" s="150"/>
      <c r="AQ46" s="42">
        <v>23</v>
      </c>
    </row>
    <row r="47" hidden="1" customHeight="1" spans="1:43">
      <c r="A47" s="45" t="s">
        <v>276</v>
      </c>
      <c r="B47" s="45" t="s">
        <v>277</v>
      </c>
      <c r="C47" s="45" t="s">
        <v>278</v>
      </c>
      <c r="D47" s="45" t="s">
        <v>531</v>
      </c>
      <c r="E47" s="1039"/>
      <c r="F47" s="1039"/>
      <c r="G47" s="1039"/>
      <c r="H47" s="1039"/>
      <c r="I47" s="1044"/>
      <c r="J47" s="1044"/>
      <c r="K47" s="228"/>
      <c r="L47" s="1040"/>
      <c r="P47" s="92"/>
      <c r="Q47" s="92"/>
      <c r="R47" s="96"/>
      <c r="S47" s="103"/>
      <c r="T47" s="83"/>
      <c r="U47" s="83"/>
      <c r="V47" s="489"/>
      <c r="W47" s="489"/>
      <c r="X47" s="141" t="str">
        <f>Y46&amp;"-"&amp;AA46</f>
        <v>-</v>
      </c>
      <c r="Y47" s="352"/>
      <c r="Z47" s="352"/>
      <c r="AA47" s="352"/>
      <c r="AB47" s="352"/>
      <c r="AC47" s="102"/>
      <c r="AD47" s="102"/>
      <c r="AE47" s="141" t="str">
        <f>AF46&amp;"-"&amp;AH46</f>
        <v>-</v>
      </c>
      <c r="AF47" s="142"/>
      <c r="AG47" s="139"/>
      <c r="AH47" s="1126"/>
      <c r="AI47" s="139"/>
      <c r="AJ47" s="763"/>
      <c r="AK47" s="1125"/>
      <c r="AM47" s="150"/>
      <c r="AN47" s="150" t="str">
        <f t="shared" si="1"/>
        <v/>
      </c>
      <c r="AO47" s="150"/>
      <c r="AP47" s="150"/>
      <c r="AQ47" s="42">
        <v>0</v>
      </c>
    </row>
    <row r="48" ht="21" customHeight="1" spans="1:43">
      <c r="A48" s="45" t="s">
        <v>276</v>
      </c>
      <c r="B48" s="45" t="s">
        <v>277</v>
      </c>
      <c r="C48" s="45" t="s">
        <v>278</v>
      </c>
      <c r="D48" s="45" t="s">
        <v>531</v>
      </c>
      <c r="E48" s="1039"/>
      <c r="F48" s="1039"/>
      <c r="G48" s="1039"/>
      <c r="H48" s="1039"/>
      <c r="I48" s="1044"/>
      <c r="J48" s="228"/>
      <c r="K48" s="45"/>
      <c r="L48" s="1040"/>
      <c r="P48" s="92"/>
      <c r="Q48" s="92"/>
      <c r="R48" s="93"/>
      <c r="S48" s="104"/>
      <c r="T48" s="107" t="s">
        <v>488</v>
      </c>
      <c r="U48" s="106"/>
      <c r="V48" s="106"/>
      <c r="W48" s="106"/>
      <c r="X48" s="106"/>
      <c r="Y48" s="106"/>
      <c r="Z48" s="106"/>
      <c r="AA48" s="106"/>
      <c r="AB48" s="106"/>
      <c r="AC48" s="106"/>
      <c r="AD48" s="106"/>
      <c r="AE48" s="106"/>
      <c r="AF48" s="106"/>
      <c r="AG48" s="106"/>
      <c r="AH48" s="106"/>
      <c r="AI48" s="106"/>
      <c r="AJ48" s="106"/>
      <c r="AK48" s="135" t="s">
        <v>489</v>
      </c>
      <c r="AM48" s="150"/>
      <c r="AN48" s="150" t="str">
        <f t="shared" si="1"/>
        <v>Добавить значение признака дифференциации</v>
      </c>
      <c r="AO48" s="150"/>
      <c r="AP48" s="150"/>
      <c r="AQ48" s="42">
        <v>20</v>
      </c>
    </row>
    <row r="49" ht="22.05" customHeight="1" spans="1:43">
      <c r="A49" s="45" t="s">
        <v>276</v>
      </c>
      <c r="B49" s="45" t="s">
        <v>277</v>
      </c>
      <c r="C49" s="45" t="s">
        <v>278</v>
      </c>
      <c r="D49" s="45" t="s">
        <v>531</v>
      </c>
      <c r="E49" s="1039"/>
      <c r="F49" s="1039"/>
      <c r="G49" s="1039"/>
      <c r="H49" s="1039"/>
      <c r="I49" s="228"/>
      <c r="J49" s="45"/>
      <c r="K49" s="45"/>
      <c r="L49" s="1040"/>
      <c r="P49" s="92"/>
      <c r="Q49" s="92"/>
      <c r="R49" s="93"/>
      <c r="S49" s="104"/>
      <c r="T49" s="109" t="s">
        <v>417</v>
      </c>
      <c r="U49" s="106"/>
      <c r="V49" s="106"/>
      <c r="W49" s="106"/>
      <c r="X49" s="106"/>
      <c r="Y49" s="106"/>
      <c r="Z49" s="106"/>
      <c r="AA49" s="106"/>
      <c r="AB49" s="146"/>
      <c r="AC49" s="106"/>
      <c r="AD49" s="106"/>
      <c r="AE49" s="106"/>
      <c r="AF49" s="106"/>
      <c r="AG49" s="106"/>
      <c r="AH49" s="106"/>
      <c r="AI49" s="146"/>
      <c r="AJ49" s="106"/>
      <c r="AK49" s="1127"/>
      <c r="AM49" s="150"/>
      <c r="AN49" s="150" t="str">
        <f t="shared" si="1"/>
        <v>Добавить группу потребителей</v>
      </c>
      <c r="AO49" s="150"/>
      <c r="AP49" s="150"/>
      <c r="AQ49" s="42">
        <v>21</v>
      </c>
    </row>
    <row r="50" ht="22.05" customHeight="1" spans="1:43">
      <c r="A50" s="45" t="s">
        <v>276</v>
      </c>
      <c r="B50" s="45" t="s">
        <v>277</v>
      </c>
      <c r="C50" s="45" t="s">
        <v>278</v>
      </c>
      <c r="D50" s="45" t="s">
        <v>531</v>
      </c>
      <c r="E50" s="1039"/>
      <c r="F50" s="1039"/>
      <c r="G50" s="1039"/>
      <c r="H50" s="1038"/>
      <c r="I50" s="45"/>
      <c r="J50" s="45"/>
      <c r="K50" s="45"/>
      <c r="L50" s="1040"/>
      <c r="M50" s="46"/>
      <c r="N50" s="46"/>
      <c r="O50" s="37"/>
      <c r="P50" s="80"/>
      <c r="Q50" s="108"/>
      <c r="R50" s="81"/>
      <c r="S50" s="104"/>
      <c r="T50" s="813" t="s">
        <v>490</v>
      </c>
      <c r="U50" s="106"/>
      <c r="V50" s="106"/>
      <c r="W50" s="106"/>
      <c r="X50" s="106"/>
      <c r="Y50" s="106"/>
      <c r="Z50" s="106"/>
      <c r="AA50" s="106"/>
      <c r="AB50" s="146"/>
      <c r="AC50" s="106"/>
      <c r="AD50" s="106"/>
      <c r="AE50" s="106"/>
      <c r="AF50" s="106"/>
      <c r="AG50" s="106"/>
      <c r="AH50" s="106"/>
      <c r="AI50" s="146"/>
      <c r="AJ50" s="106"/>
      <c r="AK50" s="147"/>
      <c r="AM50" s="150"/>
      <c r="AN50" s="150" t="str">
        <f t="shared" si="1"/>
        <v>Добавить наименование признака дифференциации</v>
      </c>
      <c r="AO50" s="150"/>
      <c r="AP50" s="150"/>
      <c r="AQ50" s="42">
        <v>21</v>
      </c>
    </row>
    <row r="51" s="43" customFormat="1" hidden="1" customHeight="1" spans="1:43">
      <c r="A51" s="587" t="s">
        <v>276</v>
      </c>
      <c r="B51" s="587" t="s">
        <v>277</v>
      </c>
      <c r="C51" s="587"/>
      <c r="D51" s="587"/>
      <c r="E51" s="1039"/>
      <c r="F51" s="1038"/>
      <c r="G51" s="587"/>
      <c r="H51" s="587"/>
      <c r="I51" s="587"/>
      <c r="J51" s="587"/>
      <c r="K51" s="587"/>
      <c r="L51" s="608"/>
      <c r="M51" s="1045"/>
      <c r="N51" s="1045"/>
      <c r="P51" s="151"/>
      <c r="Q51" s="1068"/>
      <c r="R51" s="151"/>
      <c r="S51" s="1070"/>
      <c r="T51" s="1071" t="s">
        <v>251</v>
      </c>
      <c r="U51" s="306"/>
      <c r="V51" s="306"/>
      <c r="W51" s="306"/>
      <c r="X51" s="306"/>
      <c r="Y51" s="306"/>
      <c r="Z51" s="306"/>
      <c r="AA51" s="306"/>
      <c r="AB51" s="306"/>
      <c r="AC51" s="306"/>
      <c r="AD51" s="306"/>
      <c r="AE51" s="306"/>
      <c r="AF51" s="306"/>
      <c r="AG51" s="306"/>
      <c r="AH51" s="306"/>
      <c r="AI51" s="306"/>
      <c r="AJ51" s="306"/>
      <c r="AK51" s="306"/>
      <c r="AM51" s="150"/>
      <c r="AN51" s="150" t="str">
        <f t="shared" si="1"/>
        <v>Добавить централизованную систему для дифференциации</v>
      </c>
      <c r="AO51" s="150"/>
      <c r="AP51" s="150"/>
      <c r="AQ51" s="43">
        <v>0</v>
      </c>
    </row>
    <row r="52" s="43" customFormat="1" hidden="1" customHeight="1" spans="1:43">
      <c r="A52" s="587" t="s">
        <v>276</v>
      </c>
      <c r="B52" s="587"/>
      <c r="C52" s="587"/>
      <c r="D52" s="587"/>
      <c r="E52" s="1038"/>
      <c r="F52" s="587"/>
      <c r="G52" s="587"/>
      <c r="H52" s="587"/>
      <c r="I52" s="587"/>
      <c r="J52" s="587"/>
      <c r="K52" s="587"/>
      <c r="L52" s="608"/>
      <c r="M52" s="1045"/>
      <c r="N52" s="1045"/>
      <c r="P52" s="151"/>
      <c r="Q52" s="1068"/>
      <c r="R52" s="151"/>
      <c r="S52" s="1070"/>
      <c r="T52" s="1071" t="s">
        <v>252</v>
      </c>
      <c r="U52" s="306"/>
      <c r="V52" s="306"/>
      <c r="W52" s="306"/>
      <c r="X52" s="306"/>
      <c r="Y52" s="306"/>
      <c r="Z52" s="306"/>
      <c r="AA52" s="306"/>
      <c r="AB52" s="306"/>
      <c r="AC52" s="306"/>
      <c r="AD52" s="306"/>
      <c r="AE52" s="306"/>
      <c r="AF52" s="306"/>
      <c r="AG52" s="306"/>
      <c r="AH52" s="306"/>
      <c r="AI52" s="306"/>
      <c r="AJ52" s="306"/>
      <c r="AK52" s="306"/>
      <c r="AM52" s="150"/>
      <c r="AN52" s="150" t="str">
        <f t="shared" si="1"/>
        <v>Добавить территорию для дифференциации</v>
      </c>
      <c r="AO52" s="150"/>
      <c r="AP52" s="150"/>
      <c r="AQ52" s="43">
        <v>0</v>
      </c>
    </row>
    <row r="53" s="43" customFormat="1" hidden="1" customHeight="1" spans="1:43">
      <c r="A53" s="587"/>
      <c r="B53" s="587"/>
      <c r="C53" s="587"/>
      <c r="D53" s="587"/>
      <c r="E53" s="587"/>
      <c r="F53" s="587"/>
      <c r="G53" s="587"/>
      <c r="H53" s="587"/>
      <c r="I53" s="587"/>
      <c r="J53" s="587"/>
      <c r="K53" s="587"/>
      <c r="L53" s="608"/>
      <c r="M53" s="1045"/>
      <c r="N53" s="1045"/>
      <c r="P53" s="151"/>
      <c r="Q53" s="1068"/>
      <c r="R53" s="151"/>
      <c r="S53" s="1070"/>
      <c r="T53" s="1071" t="s">
        <v>253</v>
      </c>
      <c r="U53" s="306"/>
      <c r="V53" s="306"/>
      <c r="W53" s="306"/>
      <c r="X53" s="306"/>
      <c r="Y53" s="306"/>
      <c r="Z53" s="306"/>
      <c r="AA53" s="306"/>
      <c r="AB53" s="306"/>
      <c r="AC53" s="306"/>
      <c r="AD53" s="306"/>
      <c r="AE53" s="306"/>
      <c r="AF53" s="306"/>
      <c r="AG53" s="306"/>
      <c r="AH53" s="306"/>
      <c r="AI53" s="306"/>
      <c r="AJ53" s="306"/>
      <c r="AK53" s="306"/>
      <c r="AM53" s="150"/>
      <c r="AN53" s="150" t="str">
        <f t="shared" si="1"/>
        <v>Добавить наименование тарифа</v>
      </c>
      <c r="AO53" s="150"/>
      <c r="AP53" s="150"/>
      <c r="AQ53" s="43">
        <v>0</v>
      </c>
    </row>
    <row r="54" ht="11.55" customHeight="1" spans="13:43">
      <c r="M54" s="37"/>
      <c r="N54" s="37"/>
      <c r="O54" s="37"/>
      <c r="P54" s="42"/>
      <c r="Q54" s="42"/>
      <c r="R54" s="42"/>
      <c r="S54" s="42"/>
      <c r="AL54" s="42"/>
      <c r="AM54" s="42"/>
      <c r="AN54" s="42"/>
      <c r="AO54" s="42"/>
      <c r="AP54" s="42"/>
      <c r="AQ54" s="42">
        <v>11</v>
      </c>
    </row>
    <row r="55" ht="14.7" customHeight="1" spans="15:43">
      <c r="O55" s="37"/>
      <c r="S55" s="781"/>
      <c r="T55" s="119"/>
      <c r="U55" s="119"/>
      <c r="V55" s="119"/>
      <c r="W55" s="119"/>
      <c r="X55" s="119"/>
      <c r="Y55" s="119"/>
      <c r="Z55" s="119"/>
      <c r="AA55" s="119"/>
      <c r="AB55" s="119"/>
      <c r="AC55" s="119"/>
      <c r="AD55" s="119"/>
      <c r="AE55" s="119"/>
      <c r="AF55" s="119"/>
      <c r="AG55" s="119"/>
      <c r="AH55" s="119"/>
      <c r="AI55" s="119"/>
      <c r="AJ55" s="119"/>
      <c r="AK55" s="119"/>
      <c r="AQ55" s="42">
        <v>14</v>
      </c>
    </row>
    <row r="56" ht="14.7" customHeight="1" spans="15:43">
      <c r="O56" s="37"/>
      <c r="AQ56" s="42">
        <v>14</v>
      </c>
    </row>
    <row r="57" ht="14.7" customHeight="1" spans="15:43">
      <c r="O57" s="37"/>
      <c r="S57" s="781"/>
      <c r="T57" s="119"/>
      <c r="U57" s="119"/>
      <c r="V57" s="119"/>
      <c r="W57" s="119"/>
      <c r="X57" s="119"/>
      <c r="Y57" s="119"/>
      <c r="Z57" s="119"/>
      <c r="AA57" s="119"/>
      <c r="AB57" s="119"/>
      <c r="AC57" s="119"/>
      <c r="AD57" s="119"/>
      <c r="AE57" s="119"/>
      <c r="AF57" s="119"/>
      <c r="AG57" s="119"/>
      <c r="AH57" s="119"/>
      <c r="AI57" s="119"/>
      <c r="AJ57" s="119"/>
      <c r="AK57" s="119"/>
      <c r="AQ57" s="42">
        <v>14</v>
      </c>
    </row>
    <row r="58" ht="22.5" hidden="1" customHeight="1" spans="1:43">
      <c r="A58" s="37" t="s">
        <v>83</v>
      </c>
      <c r="B58" s="37">
        <v>0</v>
      </c>
      <c r="C58" s="37">
        <v>0</v>
      </c>
      <c r="D58" s="37">
        <v>0</v>
      </c>
      <c r="E58" s="37">
        <v>0</v>
      </c>
      <c r="F58" s="37">
        <v>0</v>
      </c>
      <c r="G58" s="37">
        <v>0</v>
      </c>
      <c r="H58" s="37">
        <v>0</v>
      </c>
      <c r="I58" s="37">
        <v>0</v>
      </c>
      <c r="J58" s="37">
        <v>0</v>
      </c>
      <c r="K58" s="37">
        <v>0</v>
      </c>
      <c r="L58" s="47">
        <v>0</v>
      </c>
      <c r="M58" s="38">
        <v>0</v>
      </c>
      <c r="N58" s="38">
        <v>0</v>
      </c>
      <c r="O58" s="38">
        <v>0</v>
      </c>
      <c r="P58" s="39">
        <v>3</v>
      </c>
      <c r="Q58" s="40">
        <v>3</v>
      </c>
      <c r="R58" s="40">
        <v>3</v>
      </c>
      <c r="S58" s="41">
        <v>12</v>
      </c>
      <c r="T58" s="42">
        <v>35</v>
      </c>
      <c r="U58" s="42">
        <v>0</v>
      </c>
      <c r="V58" s="42">
        <v>0</v>
      </c>
      <c r="W58" s="42">
        <v>0</v>
      </c>
      <c r="X58" s="42">
        <v>0</v>
      </c>
      <c r="Y58" s="42">
        <v>0</v>
      </c>
      <c r="Z58" s="42">
        <v>0</v>
      </c>
      <c r="AA58" s="42">
        <v>0</v>
      </c>
      <c r="AB58" s="42">
        <v>0</v>
      </c>
      <c r="AC58" s="42">
        <v>24</v>
      </c>
      <c r="AD58" s="42">
        <v>24</v>
      </c>
      <c r="AE58" s="42">
        <v>24</v>
      </c>
      <c r="AF58" s="42">
        <v>11</v>
      </c>
      <c r="AG58" s="42">
        <v>3</v>
      </c>
      <c r="AH58" s="42">
        <v>11</v>
      </c>
      <c r="AI58" s="42">
        <v>0</v>
      </c>
      <c r="AJ58" s="42">
        <v>4</v>
      </c>
      <c r="AK58" s="42">
        <v>115</v>
      </c>
      <c r="AL58" s="43">
        <v>10</v>
      </c>
      <c r="AM58" s="43">
        <v>10</v>
      </c>
      <c r="AN58" s="43">
        <v>10</v>
      </c>
      <c r="AO58" s="43">
        <v>10</v>
      </c>
      <c r="AP58" s="43">
        <v>10</v>
      </c>
      <c r="AQ58" s="42">
        <v>23</v>
      </c>
    </row>
  </sheetData>
  <sheetProtection formatColumns="0" formatRows="0" insertRows="0" deleteColumns="0" deleteRows="0" sort="0" autoFilter="0"/>
  <mergeCells count="101">
    <mergeCell ref="V2:AB2"/>
    <mergeCell ref="AC2:AJ2"/>
    <mergeCell ref="V3:AB3"/>
    <mergeCell ref="AC3:AJ3"/>
    <mergeCell ref="V4:AB4"/>
    <mergeCell ref="AC4:AJ4"/>
    <mergeCell ref="V5:AB5"/>
    <mergeCell ref="AC5:AJ5"/>
    <mergeCell ref="V6:AB6"/>
    <mergeCell ref="AC6:AJ6"/>
    <mergeCell ref="S24:AH24"/>
    <mergeCell ref="S25:AH25"/>
    <mergeCell ref="S27:T27"/>
    <mergeCell ref="V27:AA27"/>
    <mergeCell ref="AC27:AH27"/>
    <mergeCell ref="S28:T28"/>
    <mergeCell ref="V28:AA28"/>
    <mergeCell ref="AC28:AH28"/>
    <mergeCell ref="S29:T29"/>
    <mergeCell ref="V29:AA29"/>
    <mergeCell ref="AC29:AH29"/>
    <mergeCell ref="S30:T30"/>
    <mergeCell ref="V30:AA30"/>
    <mergeCell ref="AC30:AH30"/>
    <mergeCell ref="S32:T32"/>
    <mergeCell ref="V32:AA32"/>
    <mergeCell ref="AC32:AH32"/>
    <mergeCell ref="S33:T33"/>
    <mergeCell ref="V33:AA33"/>
    <mergeCell ref="AC33:AH33"/>
    <mergeCell ref="V35:AB35"/>
    <mergeCell ref="AC35:AI35"/>
    <mergeCell ref="S36:AJ36"/>
    <mergeCell ref="V37:AA37"/>
    <mergeCell ref="AC37:AH37"/>
    <mergeCell ref="W38:X38"/>
    <mergeCell ref="Y38:AA38"/>
    <mergeCell ref="AD38:AE38"/>
    <mergeCell ref="AF38:AH38"/>
    <mergeCell ref="Z39:AA39"/>
    <mergeCell ref="AG39:AH39"/>
    <mergeCell ref="Z40:AA40"/>
    <mergeCell ref="AG40:AH40"/>
    <mergeCell ref="V41:AB41"/>
    <mergeCell ref="AC41:AJ41"/>
    <mergeCell ref="V42:AB42"/>
    <mergeCell ref="AC42:AJ42"/>
    <mergeCell ref="V43:AB43"/>
    <mergeCell ref="AC43:AJ43"/>
    <mergeCell ref="V44:AB44"/>
    <mergeCell ref="AC44:AJ44"/>
    <mergeCell ref="V45:AB45"/>
    <mergeCell ref="AC45:AJ45"/>
    <mergeCell ref="T55:AK55"/>
    <mergeCell ref="T57:AK57"/>
    <mergeCell ref="E2:E13"/>
    <mergeCell ref="E41:E52"/>
    <mergeCell ref="F3:F12"/>
    <mergeCell ref="F42:F51"/>
    <mergeCell ref="G4:G11"/>
    <mergeCell ref="G43:G50"/>
    <mergeCell ref="H5:H11"/>
    <mergeCell ref="H44:H50"/>
    <mergeCell ref="I5:I10"/>
    <mergeCell ref="I44:I49"/>
    <mergeCell ref="J6:J9"/>
    <mergeCell ref="J45:J48"/>
    <mergeCell ref="K7:K8"/>
    <mergeCell ref="K46:K47"/>
    <mergeCell ref="P5:P10"/>
    <mergeCell ref="P44:P49"/>
    <mergeCell ref="Q6:Q9"/>
    <mergeCell ref="Q45:Q48"/>
    <mergeCell ref="S37:S39"/>
    <mergeCell ref="T37:T39"/>
    <mergeCell ref="Y7:Y8"/>
    <mergeCell ref="Y46:Y47"/>
    <mergeCell ref="Z7:Z8"/>
    <mergeCell ref="Z46:Z47"/>
    <mergeCell ref="AA7:AA8"/>
    <mergeCell ref="AA46:AA47"/>
    <mergeCell ref="AB7:AB8"/>
    <mergeCell ref="AB37:AB39"/>
    <mergeCell ref="AB46:AB47"/>
    <mergeCell ref="AF7:AF8"/>
    <mergeCell ref="AF15:AF16"/>
    <mergeCell ref="AF46:AF47"/>
    <mergeCell ref="AG7:AG8"/>
    <mergeCell ref="AG15:AG16"/>
    <mergeCell ref="AG46:AG47"/>
    <mergeCell ref="AH7:AH8"/>
    <mergeCell ref="AH15:AH16"/>
    <mergeCell ref="AH46:AH47"/>
    <mergeCell ref="AI7:AI8"/>
    <mergeCell ref="AI15:AI16"/>
    <mergeCell ref="AI37:AI39"/>
    <mergeCell ref="AI46:AI47"/>
    <mergeCell ref="AJ37:AJ39"/>
    <mergeCell ref="AK7:AK8"/>
    <mergeCell ref="AK36:AK39"/>
    <mergeCell ref="AK46:AK47"/>
  </mergeCells>
  <dataValidations count="8">
    <dataValidation type="textLength" operator="lessThanOrEqual" allowBlank="1" showInputMessage="1" showErrorMessage="1" errorTitle="Ошибка" error="Допускается ввод не более 900 символов!" sqref="AC5:AJ5 T7 AC44:AJ44 T46 AK65572:AK65579 AK131108:AK131115 AK196644:AK196651 AK262180:AK262187 AK327716:AK327723 AK393252:AK393259 AK458788:AK458795 AK524324:AK524331 AK589860:AK589867 AK655396:AK655403 AK720932:AK720939 AK786468:AK786475 AK852004:AK852011 AK917540:AK917547 AK983076:AK98308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7 AA7 AF7 AH7 AF15 AH15 Y46 AA46 AF46 AH46 Y65578 AA65578 AF65578 AH65578 Y131114 AA131114 AF131114 AH131114 Y196650 AA196650 AF196650 AH196650 Y262186 AA262186 AF262186 AH262186 Y327722 AA327722 AF327722 AH327722 Y393258 AA393258 AF393258 AH393258 Y458794 AA458794 AF458794 AH458794 Y524330 AA524330 AF524330 AH524330 Y589866 AA589866 AF589866 AH589866 Y655402 AA655402 AF655402 AH655402 Y720938 AA720938 AF720938 AH720938 Y786474 AA786474 AF786474 AH786474 Y852010 AA852010 AF852010 AH852010 Y917546 AA917546 AF917546 AH917546 Y983082 AA983082 AF983082 AH983082"/>
    <dataValidation allowBlank="1" showInputMessage="1" showErrorMessage="1" prompt="Для выбора выполните двойной щелчок левой клавиши мыши по соответствующей ячейке." sqref="Z7 AB7 AG7 AI7 AG15 AI15 Z46 AB46 AG46 AI46 Z65578 AB65578 AG65578 AI65578 Z131114 AB131114 AG131114 AI131114 Z196650 AB196650 AG196650 AI196650 Z262186 AB262186 AG262186 AI262186 Z327722 AB327722 AG327722 AI327722 Z393258 AB393258 AG393258 AI393258 Z458794 AB458794 AG458794 AI458794 Z524330 AB524330 AG524330 AI524330 Z589866 AB589866 AG589866 AI589866 Z655402 AB655402 AG655402 AI655402 Z720938 AB720938 AG720938 AI720938 Z786474 AB786474 AG786474 AI786474 Z852010 AB852010 AG852010 AI852010 Z917546 AB917546 AG917546 AI917546 Z983082 AB983082 AG983082 AI983082"/>
    <dataValidation allowBlank="1" promptTitle="checkPeriodRange" sqref="X8 AE8 AE16 X47 AE47 X65579 AE65579 X131115 AE131115 X196651 AE196651 X262187 AE262187 X327723 AE327723 X393259 AE393259 X458795 AE458795 X524331 AE524331 X589867 AE589867 X655403 AE655403 X720939 AE720939 X786475 AE786475 X852011 AE852011 X917547 AE917547 X983083 AE983083"/>
    <dataValidation type="list" allowBlank="1" showInputMessage="1" showErrorMessage="1" errorTitle="Ошибка" error="Выберите значение из списка" sqref="V65576 AC65576 V131112 AC131112 V196648 AC196648 V262184 AC262184 V327720 AC327720 V393256 AC393256 V458792 AC458792 V524328 AC524328 V589864 AC589864 V655400 AC655400 V720936 AC720936 V786472 AC786472 V852008 AC852008 V917544 AC917544 V983080 AC983080">
      <formula1>kind_of_scheme_in</formula1>
    </dataValidation>
    <dataValidation type="list" allowBlank="1" showInputMessage="1" errorTitle="Ошибка" error="Выберите значение из списка" prompt="Выберите значение из списка" sqref="V65577:AJ65577 V131113:AJ131113 V196649:AJ196649 V262185:AJ262185 V327721:AJ327721 V393257:AJ393257 V458793:AJ458793 V524329:AJ524329 V589865:AJ589865 V655401:AJ655401 V720937:AJ720937 V786473:AJ786473 V852009:AJ852009 V917545:AJ917545 V983081:AJ983081">
      <formula1>kind_of_cons</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qref="S131116:AK131122 S589868:AK589874 S196652:AK196658 S655404:AK655410 S262188:AK262194 S720940:AK720946 S327724:AK327730 S786476:AK786482 S393260:AK393266 S852012:AK852018 S458796:AK458802 S917548:AK917554 S65580:AK65586 S524332:AK524338 S983084:AK983090"/>
  </dataValidations>
  <pageMargins left="0.7" right="0.7" top="0.75" bottom="0.75" header="0.3" footer="0.3"/>
  <pageSetup paperSize="1"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I69"/>
  <sheetViews>
    <sheetView showGridLines="0" zoomScale="90" zoomScaleNormal="90" workbookViewId="0">
      <pane xSplit="29" ySplit="45" topLeftCell="AD46" activePane="bottomRight" state="frozen"/>
      <selection/>
      <selection pane="topRight"/>
      <selection pane="bottomLeft"/>
      <selection pane="bottomRight" activeCell="A1" sqref="A1"/>
    </sheetView>
  </sheetViews>
  <sheetFormatPr defaultColWidth="10.5714285714286" defaultRowHeight="14.25" customHeight="1"/>
  <cols>
    <col min="1" max="1" width="11.5714285714286" style="37" hidden="1" customWidth="1"/>
    <col min="2" max="2" width="11" style="37" hidden="1" customWidth="1"/>
    <col min="3" max="3" width="10.5714285714286" style="37" hidden="1"/>
    <col min="4" max="4" width="12.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8" hidden="1" customWidth="1"/>
    <col min="17" max="17" width="3.71428571428571" style="1037" hidden="1" customWidth="1"/>
    <col min="18" max="18" width="3" style="40" customWidth="1"/>
    <col min="19" max="19" width="12" style="41" customWidth="1"/>
    <col min="20" max="20" width="31" style="42" customWidth="1"/>
    <col min="21" max="21" width="0.142857142857143" style="42" customWidth="1"/>
    <col min="22" max="25" width="21.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3.71428571428571" style="42" customWidth="1"/>
    <col min="31" max="32" width="3" style="42" customWidth="1"/>
    <col min="33" max="33" width="24" style="42" customWidth="1"/>
    <col min="34" max="34" width="3.71428571428571" style="42" customWidth="1"/>
    <col min="35" max="36" width="3" style="42" customWidth="1"/>
    <col min="37" max="37" width="24" style="42" customWidth="1"/>
    <col min="38" max="38" width="3.71428571428571" style="42" customWidth="1"/>
    <col min="39" max="40" width="3" style="42" customWidth="1"/>
    <col min="41" max="41" width="18" style="42" customWidth="1"/>
    <col min="42" max="42" width="3.71428571428571" style="42" customWidth="1"/>
    <col min="43" max="44" width="3" style="42" customWidth="1"/>
    <col min="45" max="45" width="18" style="42" customWidth="1"/>
    <col min="46" max="49" width="21" style="42" customWidth="1"/>
    <col min="50" max="50" width="11" style="42" customWidth="1"/>
    <col min="51" max="51" width="3.71428571428571" style="42" customWidth="1"/>
    <col min="52" max="52" width="11" style="42" customWidth="1"/>
    <col min="53" max="53" width="8.57142857142857" style="42" hidden="1" customWidth="1"/>
    <col min="54" max="54" width="4" style="42" customWidth="1"/>
    <col min="55" max="55" width="115" style="42" customWidth="1"/>
    <col min="56" max="60" width="10" style="43" customWidth="1"/>
    <col min="61" max="61" width="10.5714285714286" style="42" hidden="1"/>
  </cols>
  <sheetData>
    <row r="1" ht="22.5" hidden="1" customHeight="1" spans="61:61">
      <c r="BI1" s="42" t="s">
        <v>14</v>
      </c>
    </row>
    <row r="2" ht="21" hidden="1" customHeight="1" spans="1:61">
      <c r="A2" s="45"/>
      <c r="B2" s="45"/>
      <c r="C2" s="45"/>
      <c r="D2" s="45"/>
      <c r="E2" s="1038">
        <v>1</v>
      </c>
      <c r="F2" s="45"/>
      <c r="G2" s="45"/>
      <c r="H2" s="45"/>
      <c r="I2" s="45"/>
      <c r="J2" s="45"/>
      <c r="K2" s="45"/>
      <c r="L2" s="1040"/>
      <c r="M2" s="46"/>
      <c r="N2" s="46"/>
      <c r="O2" s="46"/>
      <c r="Q2" s="263"/>
      <c r="R2" s="81"/>
      <c r="S2" s="64" t="e">
        <f>INDEX(PT_DIFFERENTIATION_NUM_NTAR,MATCH(A2,PT_DIFFERENTIATION_NTAR_ID,0))</f>
        <v>#N/A</v>
      </c>
      <c r="T2" s="82" t="s">
        <v>125</v>
      </c>
      <c r="U2" s="83"/>
      <c r="V2" s="1047"/>
      <c r="W2" s="1047"/>
      <c r="X2" s="1047"/>
      <c r="Y2" s="1047"/>
      <c r="Z2" s="1047"/>
      <c r="AA2" s="1047"/>
      <c r="AB2" s="1047"/>
      <c r="AC2" s="1075"/>
      <c r="AD2" s="1076" t="e">
        <f>INDEX(PT_DIFFERENTIATION_NTAR,MATCH(A2,PT_DIFFERENTIATION_NTAR_ID,0))</f>
        <v>#N/A</v>
      </c>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75"/>
      <c r="BC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50"/>
      <c r="BF2" s="150" t="str">
        <f t="shared" ref="BF2:BF8" si="0">IF(T2="","",T2)</f>
        <v>Наименование тарифа</v>
      </c>
      <c r="BG2" s="150"/>
      <c r="BH2" s="150"/>
      <c r="BI2" s="42">
        <v>0</v>
      </c>
    </row>
    <row r="3" ht="21" hidden="1" customHeight="1" spans="1:61">
      <c r="A3" s="45"/>
      <c r="B3" s="45"/>
      <c r="C3" s="45"/>
      <c r="D3" s="45"/>
      <c r="E3" s="1039"/>
      <c r="F3" s="1038">
        <v>1</v>
      </c>
      <c r="G3" s="45"/>
      <c r="H3" s="45"/>
      <c r="I3" s="45"/>
      <c r="J3" s="45"/>
      <c r="K3" s="45"/>
      <c r="L3" s="1040"/>
      <c r="M3" s="46"/>
      <c r="N3" s="46"/>
      <c r="O3" s="46"/>
      <c r="P3" s="47"/>
      <c r="Q3" s="1048"/>
      <c r="R3" s="87"/>
      <c r="S3" s="64" t="e">
        <f>INDEX(PT_DIFFERENTIATION_NUM_TER,MATCH(B3,PT_DIFFERENTIATION_TER_ID,0))</f>
        <v>#N/A</v>
      </c>
      <c r="T3" s="88" t="s">
        <v>402</v>
      </c>
      <c r="U3" s="83"/>
      <c r="V3" s="1047"/>
      <c r="W3" s="1047"/>
      <c r="X3" s="1047"/>
      <c r="Y3" s="1047"/>
      <c r="Z3" s="1047"/>
      <c r="AA3" s="1047"/>
      <c r="AB3" s="1047"/>
      <c r="AC3" s="1075"/>
      <c r="AD3" s="1076" t="e">
        <f>INDEX(PT_DIFFERENTIATION_TER,MATCH(B3,PT_DIFFERENTIATION_TER_ID,0))</f>
        <v>#N/A</v>
      </c>
      <c r="AE3" s="1047"/>
      <c r="AF3" s="1047"/>
      <c r="AG3" s="1047"/>
      <c r="AH3" s="1047"/>
      <c r="AI3" s="1047"/>
      <c r="AJ3" s="1047"/>
      <c r="AK3" s="1047"/>
      <c r="AL3" s="1047"/>
      <c r="AM3" s="1047"/>
      <c r="AN3" s="1047"/>
      <c r="AO3" s="1047"/>
      <c r="AP3" s="1047"/>
      <c r="AQ3" s="1047"/>
      <c r="AR3" s="1047"/>
      <c r="AS3" s="1047"/>
      <c r="AT3" s="1047"/>
      <c r="AU3" s="1047"/>
      <c r="AV3" s="1047"/>
      <c r="AW3" s="1047"/>
      <c r="AX3" s="1047"/>
      <c r="AY3" s="1047"/>
      <c r="AZ3" s="1047"/>
      <c r="BA3" s="1047"/>
      <c r="BB3" s="1075"/>
      <c r="BC3" s="135" t="s">
        <v>403</v>
      </c>
      <c r="BE3" s="150"/>
      <c r="BF3" s="150" t="str">
        <f t="shared" si="0"/>
        <v>Территория действия тарифа</v>
      </c>
      <c r="BG3" s="150"/>
      <c r="BH3" s="150"/>
      <c r="BI3" s="42">
        <v>0</v>
      </c>
    </row>
    <row r="4" ht="33.75" hidden="1" customHeight="1" spans="1:61">
      <c r="A4" s="45"/>
      <c r="B4" s="45"/>
      <c r="C4" s="45"/>
      <c r="D4" s="45"/>
      <c r="E4" s="1039"/>
      <c r="F4" s="1039"/>
      <c r="G4" s="1038">
        <v>1</v>
      </c>
      <c r="H4" s="45"/>
      <c r="I4" s="45"/>
      <c r="J4" s="45"/>
      <c r="K4" s="45"/>
      <c r="L4" s="1040"/>
      <c r="M4" s="46"/>
      <c r="N4" s="46"/>
      <c r="O4" s="46"/>
      <c r="P4" s="1041"/>
      <c r="Q4" s="1048"/>
      <c r="R4" s="87"/>
      <c r="S4" s="64" t="e">
        <f>INDEX(PT_DIFFERENTIATION_NUM_CS,MATCH(C4,PT_DIFFERENTIATION_CS_ID,0))</f>
        <v>#N/A</v>
      </c>
      <c r="T4" s="90" t="s">
        <v>526</v>
      </c>
      <c r="U4" s="83"/>
      <c r="V4" s="1047"/>
      <c r="W4" s="1047"/>
      <c r="X4" s="1047"/>
      <c r="Y4" s="1047"/>
      <c r="Z4" s="1047"/>
      <c r="AA4" s="1047"/>
      <c r="AB4" s="1047"/>
      <c r="AC4" s="1075"/>
      <c r="AD4" s="1076" t="e">
        <f>INDEX(PT_DIFFERENTIATION_CS,MATCH(C4,PT_DIFFERENTIATION_CS_ID,0))</f>
        <v>#N/A</v>
      </c>
      <c r="AE4" s="1047"/>
      <c r="AF4" s="1047"/>
      <c r="AG4" s="1047"/>
      <c r="AH4" s="1047"/>
      <c r="AI4" s="1047"/>
      <c r="AJ4" s="1047"/>
      <c r="AK4" s="1047"/>
      <c r="AL4" s="1047"/>
      <c r="AM4" s="1047"/>
      <c r="AN4" s="1047"/>
      <c r="AO4" s="1047"/>
      <c r="AP4" s="1047"/>
      <c r="AQ4" s="1047"/>
      <c r="AR4" s="1047"/>
      <c r="AS4" s="1047"/>
      <c r="AT4" s="1047"/>
      <c r="AU4" s="1047"/>
      <c r="AV4" s="1047"/>
      <c r="AW4" s="1047"/>
      <c r="AX4" s="1047"/>
      <c r="AY4" s="1047"/>
      <c r="AZ4" s="1047"/>
      <c r="BA4" s="1047"/>
      <c r="BB4" s="1075"/>
      <c r="BC4" s="135" t="s">
        <v>527</v>
      </c>
      <c r="BE4" s="150"/>
      <c r="BF4" s="150" t="str">
        <f t="shared" si="0"/>
        <v>Наименование централизованной системы водоотведения</v>
      </c>
      <c r="BG4" s="150"/>
      <c r="BH4" s="150"/>
      <c r="BI4" s="42">
        <v>0</v>
      </c>
    </row>
    <row r="5" s="43" customFormat="1" hidden="1" customHeight="1" spans="1:61">
      <c r="A5" s="587"/>
      <c r="B5" s="587"/>
      <c r="C5" s="587"/>
      <c r="D5" s="587"/>
      <c r="E5" s="1039"/>
      <c r="F5" s="1039"/>
      <c r="G5" s="1039"/>
      <c r="H5" s="1038">
        <v>1</v>
      </c>
      <c r="I5" s="587"/>
      <c r="J5" s="587"/>
      <c r="K5" s="587"/>
      <c r="L5" s="608"/>
      <c r="M5" s="282"/>
      <c r="N5" s="282"/>
      <c r="O5" s="282"/>
      <c r="P5" s="1042"/>
      <c r="Q5" s="1049"/>
      <c r="R5" s="96"/>
      <c r="S5" s="329"/>
      <c r="T5" s="1050"/>
      <c r="U5" s="1051"/>
      <c r="V5" s="1052"/>
      <c r="W5" s="1052"/>
      <c r="X5" s="1052"/>
      <c r="Y5" s="1052"/>
      <c r="Z5" s="1052"/>
      <c r="AA5" s="1052"/>
      <c r="AB5" s="1052"/>
      <c r="AC5" s="1077"/>
      <c r="AD5" s="1078"/>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2"/>
      <c r="BB5" s="1077"/>
      <c r="BC5" s="981" t="s">
        <v>407</v>
      </c>
      <c r="BE5" s="150"/>
      <c r="BF5" s="150" t="str">
        <f t="shared" si="0"/>
        <v/>
      </c>
      <c r="BG5" s="150"/>
      <c r="BH5" s="150"/>
      <c r="BI5" s="43">
        <v>0</v>
      </c>
    </row>
    <row r="6" s="43" customFormat="1" hidden="1" customHeight="1" spans="1:61">
      <c r="A6" s="587"/>
      <c r="B6" s="587"/>
      <c r="C6" s="587"/>
      <c r="D6" s="587"/>
      <c r="E6" s="1039"/>
      <c r="F6" s="1039"/>
      <c r="G6" s="1039"/>
      <c r="H6" s="1039"/>
      <c r="I6" s="228" t="str">
        <f>S5&amp;".1"</f>
        <v>.1</v>
      </c>
      <c r="J6" s="587"/>
      <c r="K6" s="587"/>
      <c r="L6" s="608" t="s">
        <v>408</v>
      </c>
      <c r="M6" s="1043"/>
      <c r="N6" s="1043"/>
      <c r="O6" s="1043"/>
      <c r="P6" s="92">
        <v>1</v>
      </c>
      <c r="Q6" s="92"/>
      <c r="R6" s="93"/>
      <c r="S6" s="329"/>
      <c r="T6" s="1053"/>
      <c r="U6" s="1051"/>
      <c r="V6" s="1052"/>
      <c r="W6" s="1052"/>
      <c r="X6" s="1052"/>
      <c r="Y6" s="1052"/>
      <c r="Z6" s="1052"/>
      <c r="AA6" s="1052"/>
      <c r="AB6" s="1052"/>
      <c r="AC6" s="1077"/>
      <c r="AD6" s="1078"/>
      <c r="AE6" s="1052"/>
      <c r="AF6" s="1052"/>
      <c r="AG6" s="1052"/>
      <c r="AH6" s="1052"/>
      <c r="AI6" s="1052"/>
      <c r="AJ6" s="1052"/>
      <c r="AK6" s="1052"/>
      <c r="AL6" s="1052"/>
      <c r="AM6" s="1052"/>
      <c r="AN6" s="1052"/>
      <c r="AO6" s="1052"/>
      <c r="AP6" s="1052"/>
      <c r="AQ6" s="1052"/>
      <c r="AR6" s="1052"/>
      <c r="AS6" s="1052"/>
      <c r="AT6" s="1052"/>
      <c r="AU6" s="1052"/>
      <c r="AV6" s="1052"/>
      <c r="AW6" s="1052"/>
      <c r="AX6" s="1052"/>
      <c r="AY6" s="1052"/>
      <c r="AZ6" s="1052"/>
      <c r="BA6" s="1052"/>
      <c r="BB6" s="1077"/>
      <c r="BC6" s="981"/>
      <c r="BE6" s="150"/>
      <c r="BF6" s="150" t="str">
        <f t="shared" si="0"/>
        <v/>
      </c>
      <c r="BG6" s="150"/>
      <c r="BH6" s="150"/>
      <c r="BI6" s="43">
        <v>0</v>
      </c>
    </row>
    <row r="7" s="43" customFormat="1" hidden="1" customHeight="1" spans="1:61">
      <c r="A7" s="587"/>
      <c r="B7" s="587"/>
      <c r="C7" s="587"/>
      <c r="D7" s="587"/>
      <c r="E7" s="1039"/>
      <c r="F7" s="1039"/>
      <c r="G7" s="1039"/>
      <c r="H7" s="1039"/>
      <c r="I7" s="1044"/>
      <c r="J7" s="228" t="str">
        <f>S5&amp;".1"</f>
        <v>.1</v>
      </c>
      <c r="K7" s="587"/>
      <c r="L7" s="608"/>
      <c r="M7" s="1043"/>
      <c r="N7" s="1043"/>
      <c r="O7" s="1043"/>
      <c r="P7" s="92"/>
      <c r="Q7" s="92">
        <v>1</v>
      </c>
      <c r="R7" s="96"/>
      <c r="S7" s="329"/>
      <c r="T7" s="1054"/>
      <c r="U7" s="1051"/>
      <c r="V7" s="1052"/>
      <c r="W7" s="1052"/>
      <c r="X7" s="1052"/>
      <c r="Y7" s="1052"/>
      <c r="Z7" s="1052"/>
      <c r="AA7" s="1052"/>
      <c r="AB7" s="1052"/>
      <c r="AC7" s="1077"/>
      <c r="AD7" s="1078"/>
      <c r="AE7" s="1052"/>
      <c r="AF7" s="1052"/>
      <c r="AG7" s="1052"/>
      <c r="AH7" s="1052"/>
      <c r="AI7" s="1052"/>
      <c r="AJ7" s="1052"/>
      <c r="AK7" s="1052"/>
      <c r="AL7" s="1052"/>
      <c r="AM7" s="1052"/>
      <c r="AN7" s="1052"/>
      <c r="AO7" s="1052"/>
      <c r="AP7" s="1052"/>
      <c r="AQ7" s="1052"/>
      <c r="AR7" s="1052"/>
      <c r="AS7" s="1052"/>
      <c r="AT7" s="1052"/>
      <c r="AU7" s="1052"/>
      <c r="AV7" s="1052"/>
      <c r="AW7" s="1052"/>
      <c r="AX7" s="1052"/>
      <c r="AY7" s="1052"/>
      <c r="AZ7" s="1052"/>
      <c r="BA7" s="1052"/>
      <c r="BB7" s="1077"/>
      <c r="BC7" s="981"/>
      <c r="BE7" s="150"/>
      <c r="BF7" s="150" t="str">
        <f t="shared" si="0"/>
        <v/>
      </c>
      <c r="BG7" s="150"/>
      <c r="BH7" s="150"/>
      <c r="BI7" s="43">
        <v>0</v>
      </c>
    </row>
    <row r="8" ht="11.25" hidden="1" customHeight="1" spans="1:61">
      <c r="A8" s="45"/>
      <c r="B8" s="45"/>
      <c r="C8" s="45"/>
      <c r="D8" s="45"/>
      <c r="E8" s="1039"/>
      <c r="F8" s="1039"/>
      <c r="G8" s="1039"/>
      <c r="H8" s="1039"/>
      <c r="I8" s="1044"/>
      <c r="J8" s="1044"/>
      <c r="K8" s="228" t="e">
        <f>S4&amp;".1"</f>
        <v>#N/A</v>
      </c>
      <c r="L8" s="1040"/>
      <c r="P8" s="92"/>
      <c r="Q8" s="92"/>
      <c r="R8" s="1055">
        <v>1</v>
      </c>
      <c r="S8" s="1056" t="e">
        <f>$K8</f>
        <v>#N/A</v>
      </c>
      <c r="T8" s="1057"/>
      <c r="U8" s="83"/>
      <c r="V8" s="101"/>
      <c r="W8" s="137"/>
      <c r="X8" s="101"/>
      <c r="Y8" s="137"/>
      <c r="Z8" s="138"/>
      <c r="AA8" s="139" t="s">
        <v>62</v>
      </c>
      <c r="AB8" s="138"/>
      <c r="AC8" s="139" t="s">
        <v>62</v>
      </c>
      <c r="AD8" s="472" t="s">
        <v>62</v>
      </c>
      <c r="AE8" s="1079"/>
      <c r="AF8" s="661">
        <v>1</v>
      </c>
      <c r="AG8" s="1092"/>
      <c r="AH8" s="139" t="s">
        <v>62</v>
      </c>
      <c r="AI8" s="1079"/>
      <c r="AJ8" s="661">
        <v>1</v>
      </c>
      <c r="AK8" s="1093" t="s">
        <v>28</v>
      </c>
      <c r="AL8" s="139" t="s">
        <v>62</v>
      </c>
      <c r="AM8" s="892"/>
      <c r="AN8" s="661">
        <v>1</v>
      </c>
      <c r="AO8" s="1101"/>
      <c r="AP8" s="1102" t="s">
        <v>62</v>
      </c>
      <c r="AQ8" s="1103"/>
      <c r="AR8" s="661">
        <v>1</v>
      </c>
      <c r="AS8" s="446" t="s">
        <v>28</v>
      </c>
      <c r="AT8" s="101"/>
      <c r="AU8" s="137"/>
      <c r="AV8" s="101"/>
      <c r="AW8" s="137"/>
      <c r="AX8" s="138"/>
      <c r="AY8" s="139" t="s">
        <v>62</v>
      </c>
      <c r="AZ8" s="138"/>
      <c r="BA8" s="139" t="s">
        <v>62</v>
      </c>
      <c r="BB8" s="1106"/>
      <c r="BC8" s="140" t="s">
        <v>503</v>
      </c>
      <c r="BE8" s="150"/>
      <c r="BF8" s="150" t="str">
        <f t="shared" si="0"/>
        <v/>
      </c>
      <c r="BG8" s="150"/>
      <c r="BH8" s="150"/>
      <c r="BI8" s="42">
        <v>0</v>
      </c>
    </row>
    <row r="9" ht="11.25" hidden="1" customHeight="1" spans="1:61">
      <c r="A9" s="45"/>
      <c r="B9" s="45"/>
      <c r="C9" s="45"/>
      <c r="D9" s="45"/>
      <c r="E9" s="1039"/>
      <c r="F9" s="1039"/>
      <c r="G9" s="1039"/>
      <c r="H9" s="1039"/>
      <c r="I9" s="1044"/>
      <c r="J9" s="1044"/>
      <c r="K9" s="228"/>
      <c r="L9" s="1040"/>
      <c r="P9" s="92"/>
      <c r="Q9" s="92"/>
      <c r="R9" s="1055"/>
      <c r="S9" s="1058"/>
      <c r="T9" s="1059"/>
      <c r="U9" s="83"/>
      <c r="V9" s="1060"/>
      <c r="W9" s="1061"/>
      <c r="X9" s="1060"/>
      <c r="Y9" s="1061"/>
      <c r="Z9" s="1060"/>
      <c r="AA9" s="1060"/>
      <c r="AB9" s="1060"/>
      <c r="AC9" s="1060"/>
      <c r="AD9" s="474"/>
      <c r="AE9" s="1079"/>
      <c r="AF9" s="661"/>
      <c r="AG9" s="1092"/>
      <c r="AH9" s="139"/>
      <c r="AI9" s="1079"/>
      <c r="AJ9" s="661"/>
      <c r="AK9" s="1093"/>
      <c r="AL9" s="139"/>
      <c r="AM9" s="896"/>
      <c r="AN9" s="661"/>
      <c r="AO9" s="1101"/>
      <c r="AP9" s="1104"/>
      <c r="AQ9" s="330"/>
      <c r="AR9" s="331"/>
      <c r="AS9" s="331" t="s">
        <v>504</v>
      </c>
      <c r="AT9" s="1060"/>
      <c r="AU9" s="1061"/>
      <c r="AV9" s="1060"/>
      <c r="AW9" s="1061"/>
      <c r="AX9" s="1060"/>
      <c r="AY9" s="1060"/>
      <c r="AZ9" s="1060"/>
      <c r="BA9" s="1060"/>
      <c r="BB9" s="1107"/>
      <c r="BC9" s="143"/>
      <c r="BE9" s="150"/>
      <c r="BF9" s="150"/>
      <c r="BG9" s="150"/>
      <c r="BH9" s="150"/>
      <c r="BI9" s="42">
        <v>0</v>
      </c>
    </row>
    <row r="10" ht="11.25" hidden="1" customHeight="1" spans="1:61">
      <c r="A10" s="45"/>
      <c r="B10" s="45"/>
      <c r="C10" s="45"/>
      <c r="D10" s="45"/>
      <c r="E10" s="1039"/>
      <c r="F10" s="1039"/>
      <c r="G10" s="1039"/>
      <c r="H10" s="1039"/>
      <c r="I10" s="1044"/>
      <c r="J10" s="1044"/>
      <c r="K10" s="228"/>
      <c r="L10" s="1040"/>
      <c r="P10" s="92"/>
      <c r="Q10" s="92"/>
      <c r="R10" s="1055"/>
      <c r="S10" s="1058"/>
      <c r="T10" s="1059"/>
      <c r="U10" s="83"/>
      <c r="V10" s="1060"/>
      <c r="W10" s="1061"/>
      <c r="X10" s="1060"/>
      <c r="Y10" s="1061"/>
      <c r="Z10" s="1060"/>
      <c r="AA10" s="1060"/>
      <c r="AB10" s="1060"/>
      <c r="AC10" s="1060"/>
      <c r="AD10" s="474"/>
      <c r="AE10" s="1079"/>
      <c r="AF10" s="661"/>
      <c r="AG10" s="1092"/>
      <c r="AH10" s="139"/>
      <c r="AI10" s="1079"/>
      <c r="AJ10" s="661"/>
      <c r="AK10" s="1093"/>
      <c r="AL10" s="139"/>
      <c r="AM10" s="330"/>
      <c r="AN10" s="598"/>
      <c r="AO10" s="598" t="s">
        <v>532</v>
      </c>
      <c r="AP10" s="331"/>
      <c r="AQ10" s="331"/>
      <c r="AR10" s="331"/>
      <c r="AS10" s="1060"/>
      <c r="AT10" s="1060"/>
      <c r="AU10" s="1061"/>
      <c r="AV10" s="1060"/>
      <c r="AW10" s="1061"/>
      <c r="AX10" s="1060"/>
      <c r="AY10" s="1060"/>
      <c r="AZ10" s="1060"/>
      <c r="BA10" s="1060"/>
      <c r="BB10" s="1107"/>
      <c r="BC10" s="143"/>
      <c r="BE10" s="150"/>
      <c r="BF10" s="150"/>
      <c r="BG10" s="150"/>
      <c r="BH10" s="150"/>
      <c r="BI10" s="42">
        <v>0</v>
      </c>
    </row>
    <row r="11" ht="11.25" hidden="1" customHeight="1" spans="1:61">
      <c r="A11" s="45"/>
      <c r="B11" s="45"/>
      <c r="C11" s="45"/>
      <c r="D11" s="45"/>
      <c r="E11" s="1039"/>
      <c r="F11" s="1039"/>
      <c r="G11" s="1039"/>
      <c r="H11" s="1039"/>
      <c r="I11" s="1044"/>
      <c r="J11" s="1044"/>
      <c r="K11" s="228"/>
      <c r="L11" s="1040"/>
      <c r="P11" s="92"/>
      <c r="Q11" s="92"/>
      <c r="R11" s="1055"/>
      <c r="S11" s="1058"/>
      <c r="T11" s="1059"/>
      <c r="U11" s="83"/>
      <c r="V11" s="1060"/>
      <c r="W11" s="1061"/>
      <c r="X11" s="1060"/>
      <c r="Y11" s="1061"/>
      <c r="Z11" s="1060"/>
      <c r="AA11" s="1060"/>
      <c r="AB11" s="1060"/>
      <c r="AC11" s="1060"/>
      <c r="AD11" s="474"/>
      <c r="AE11" s="1079"/>
      <c r="AF11" s="661"/>
      <c r="AG11" s="1092"/>
      <c r="AH11" s="139"/>
      <c r="AI11" s="900"/>
      <c r="AJ11" s="226"/>
      <c r="AK11" s="1094" t="s">
        <v>533</v>
      </c>
      <c r="AL11" s="1060"/>
      <c r="AM11" s="1060"/>
      <c r="AN11" s="1060"/>
      <c r="AO11" s="1060"/>
      <c r="AP11" s="1060"/>
      <c r="AQ11" s="1060"/>
      <c r="AR11" s="1060"/>
      <c r="AS11" s="1060"/>
      <c r="AT11" s="1060"/>
      <c r="AU11" s="1061"/>
      <c r="AV11" s="1060"/>
      <c r="AW11" s="1061"/>
      <c r="AX11" s="1060"/>
      <c r="AY11" s="1060"/>
      <c r="AZ11" s="1060"/>
      <c r="BA11" s="1060"/>
      <c r="BB11" s="1107"/>
      <c r="BC11" s="143"/>
      <c r="BE11" s="150"/>
      <c r="BF11" s="150"/>
      <c r="BG11" s="150"/>
      <c r="BH11" s="150"/>
      <c r="BI11" s="42">
        <v>0</v>
      </c>
    </row>
    <row r="12" ht="11.25" hidden="1" customHeight="1" spans="1:61">
      <c r="A12" s="45"/>
      <c r="B12" s="45"/>
      <c r="C12" s="45"/>
      <c r="D12" s="45"/>
      <c r="E12" s="1039"/>
      <c r="F12" s="1039"/>
      <c r="G12" s="1039"/>
      <c r="H12" s="1039"/>
      <c r="I12" s="1044"/>
      <c r="J12" s="1044"/>
      <c r="K12" s="228"/>
      <c r="L12" s="1040"/>
      <c r="P12" s="92"/>
      <c r="Q12" s="92"/>
      <c r="R12" s="1055"/>
      <c r="S12" s="1062"/>
      <c r="T12" s="1063"/>
      <c r="U12" s="83"/>
      <c r="V12" s="1060"/>
      <c r="W12" s="1064" t="str">
        <f>Z8&amp;"-"&amp;AB8</f>
        <v>-</v>
      </c>
      <c r="X12" s="1060"/>
      <c r="Y12" s="1064" t="str">
        <f>AB8&amp;"-"&amp;AD8</f>
        <v>-да</v>
      </c>
      <c r="Z12" s="1060"/>
      <c r="AA12" s="1060"/>
      <c r="AB12" s="1060"/>
      <c r="AC12" s="1060"/>
      <c r="AD12" s="477"/>
      <c r="AE12" s="1080"/>
      <c r="AF12" s="1081"/>
      <c r="AG12" s="331" t="s">
        <v>507</v>
      </c>
      <c r="AH12" s="1060"/>
      <c r="AI12" s="1060"/>
      <c r="AJ12" s="1060"/>
      <c r="AK12" s="1060"/>
      <c r="AL12" s="1060"/>
      <c r="AM12" s="1060"/>
      <c r="AN12" s="1060"/>
      <c r="AO12" s="1060"/>
      <c r="AP12" s="1060"/>
      <c r="AQ12" s="1060"/>
      <c r="AR12" s="1060"/>
      <c r="AS12" s="1060"/>
      <c r="AT12" s="1060"/>
      <c r="AU12" s="1064" t="str">
        <f>AX8&amp;"-"&amp;AZ8</f>
        <v>-</v>
      </c>
      <c r="AV12" s="1060"/>
      <c r="AW12" s="1064" t="str">
        <f>AZ8&amp;"-"&amp;BB8</f>
        <v>-</v>
      </c>
      <c r="AX12" s="1060"/>
      <c r="AY12" s="1060"/>
      <c r="AZ12" s="1060"/>
      <c r="BA12" s="1060"/>
      <c r="BB12" s="1108" t="str">
        <f>BE8&amp;"-"&amp;BG8</f>
        <v>-</v>
      </c>
      <c r="BC12" s="143"/>
      <c r="BE12" s="150"/>
      <c r="BF12" s="150" t="str">
        <f t="shared" ref="BF12:BF18" si="1">IF(T12="","",T12)</f>
        <v/>
      </c>
      <c r="BG12" s="150"/>
      <c r="BH12" s="150"/>
      <c r="BI12" s="42">
        <v>0</v>
      </c>
    </row>
    <row r="13" ht="11.25" hidden="1" customHeight="1" spans="1:61">
      <c r="A13" s="45"/>
      <c r="B13" s="45"/>
      <c r="C13" s="45"/>
      <c r="D13" s="45"/>
      <c r="E13" s="1039"/>
      <c r="F13" s="1039"/>
      <c r="G13" s="1039"/>
      <c r="H13" s="1039"/>
      <c r="I13" s="1044"/>
      <c r="J13" s="228"/>
      <c r="K13" s="45"/>
      <c r="L13" s="1040"/>
      <c r="P13" s="92"/>
      <c r="Q13" s="92"/>
      <c r="R13" s="93"/>
      <c r="S13" s="104"/>
      <c r="T13" s="107" t="s">
        <v>470</v>
      </c>
      <c r="U13" s="106"/>
      <c r="V13" s="106"/>
      <c r="W13" s="106"/>
      <c r="X13" s="106"/>
      <c r="Y13" s="106"/>
      <c r="Z13" s="106"/>
      <c r="AA13" s="106"/>
      <c r="AB13" s="106"/>
      <c r="AC13" s="106"/>
      <c r="AD13" s="1082"/>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44"/>
      <c r="BC13" s="145"/>
      <c r="BE13" s="150"/>
      <c r="BF13" s="150" t="str">
        <f t="shared" si="1"/>
        <v>Добавить строку</v>
      </c>
      <c r="BG13" s="150"/>
      <c r="BH13" s="150"/>
      <c r="BI13" s="42">
        <v>0</v>
      </c>
    </row>
    <row r="14" s="43" customFormat="1" hidden="1" customHeight="1" spans="1:61">
      <c r="A14" s="587"/>
      <c r="B14" s="587"/>
      <c r="C14" s="587"/>
      <c r="D14" s="587"/>
      <c r="E14" s="1039"/>
      <c r="F14" s="1039"/>
      <c r="G14" s="1039"/>
      <c r="H14" s="1039"/>
      <c r="I14" s="228"/>
      <c r="J14" s="587"/>
      <c r="K14" s="587"/>
      <c r="L14" s="608"/>
      <c r="M14" s="1043"/>
      <c r="N14" s="1043"/>
      <c r="O14" s="1043"/>
      <c r="P14" s="92"/>
      <c r="Q14" s="92"/>
      <c r="R14" s="93"/>
      <c r="S14" s="1065"/>
      <c r="T14" s="1066"/>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109"/>
      <c r="BE14" s="150"/>
      <c r="BF14" s="150" t="str">
        <f t="shared" si="1"/>
        <v/>
      </c>
      <c r="BG14" s="150"/>
      <c r="BH14" s="150"/>
      <c r="BI14" s="43">
        <v>0</v>
      </c>
    </row>
    <row r="15" s="43" customFormat="1" hidden="1" customHeight="1" spans="1:61">
      <c r="A15" s="587"/>
      <c r="B15" s="587"/>
      <c r="C15" s="587"/>
      <c r="D15" s="587"/>
      <c r="E15" s="1039"/>
      <c r="F15" s="1039"/>
      <c r="G15" s="1039"/>
      <c r="H15" s="1038"/>
      <c r="I15" s="587"/>
      <c r="J15" s="587"/>
      <c r="K15" s="587"/>
      <c r="L15" s="608"/>
      <c r="M15" s="282"/>
      <c r="N15" s="282"/>
      <c r="P15" s="151"/>
      <c r="Q15" s="1068"/>
      <c r="R15" s="1069"/>
      <c r="S15" s="1065"/>
      <c r="T15" s="1066"/>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c r="AT15" s="1067"/>
      <c r="AU15" s="1067"/>
      <c r="AV15" s="1067"/>
      <c r="AW15" s="1067"/>
      <c r="AX15" s="1067"/>
      <c r="AY15" s="1067"/>
      <c r="AZ15" s="1067"/>
      <c r="BA15" s="1067"/>
      <c r="BB15" s="1067"/>
      <c r="BC15" s="1109"/>
      <c r="BE15" s="150"/>
      <c r="BF15" s="150" t="str">
        <f t="shared" si="1"/>
        <v/>
      </c>
      <c r="BG15" s="150"/>
      <c r="BH15" s="150"/>
      <c r="BI15" s="43">
        <v>0</v>
      </c>
    </row>
    <row r="16" s="43" customFormat="1" hidden="1" customHeight="1" spans="1:61">
      <c r="A16" s="587"/>
      <c r="B16" s="587"/>
      <c r="C16" s="587"/>
      <c r="D16" s="587"/>
      <c r="E16" s="1039"/>
      <c r="F16" s="1039"/>
      <c r="G16" s="1038"/>
      <c r="H16" s="587"/>
      <c r="I16" s="587"/>
      <c r="J16" s="587"/>
      <c r="K16" s="587"/>
      <c r="L16" s="608"/>
      <c r="M16" s="282"/>
      <c r="N16" s="282"/>
      <c r="P16" s="151"/>
      <c r="Q16" s="1068"/>
      <c r="R16" s="151"/>
      <c r="S16" s="1070"/>
      <c r="T16" s="1071"/>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E16" s="150"/>
      <c r="BF16" s="150" t="str">
        <f t="shared" si="1"/>
        <v/>
      </c>
      <c r="BG16" s="150"/>
      <c r="BH16" s="150"/>
      <c r="BI16" s="43">
        <v>0</v>
      </c>
    </row>
    <row r="17" s="43" customFormat="1" hidden="1" customHeight="1" spans="1:61">
      <c r="A17" s="587"/>
      <c r="B17" s="587"/>
      <c r="C17" s="587"/>
      <c r="D17" s="587"/>
      <c r="E17" s="1039"/>
      <c r="F17" s="1038"/>
      <c r="G17" s="587"/>
      <c r="H17" s="587"/>
      <c r="I17" s="587"/>
      <c r="J17" s="587"/>
      <c r="K17" s="587"/>
      <c r="L17" s="608"/>
      <c r="M17" s="1045"/>
      <c r="N17" s="1045"/>
      <c r="P17" s="151"/>
      <c r="Q17" s="1068"/>
      <c r="R17" s="151"/>
      <c r="S17" s="1070"/>
      <c r="T17" s="1071" t="s">
        <v>251</v>
      </c>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c r="BA17" s="306"/>
      <c r="BB17" s="306"/>
      <c r="BC17" s="306"/>
      <c r="BE17" s="150"/>
      <c r="BF17" s="150" t="str">
        <f t="shared" si="1"/>
        <v>Добавить централизованную систему для дифференциации</v>
      </c>
      <c r="BG17" s="150"/>
      <c r="BH17" s="150"/>
      <c r="BI17" s="43">
        <v>0</v>
      </c>
    </row>
    <row r="18" s="43" customFormat="1" hidden="1" customHeight="1" spans="1:61">
      <c r="A18" s="587"/>
      <c r="B18" s="587"/>
      <c r="C18" s="587"/>
      <c r="D18" s="587"/>
      <c r="E18" s="1038"/>
      <c r="F18" s="587"/>
      <c r="G18" s="587"/>
      <c r="H18" s="587"/>
      <c r="I18" s="587"/>
      <c r="J18" s="587"/>
      <c r="K18" s="587"/>
      <c r="L18" s="608"/>
      <c r="M18" s="1045"/>
      <c r="N18" s="1045"/>
      <c r="P18" s="151"/>
      <c r="Q18" s="1068"/>
      <c r="R18" s="151"/>
      <c r="S18" s="1070"/>
      <c r="T18" s="1071" t="s">
        <v>252</v>
      </c>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E18" s="150"/>
      <c r="BF18" s="150" t="str">
        <f t="shared" si="1"/>
        <v>Добавить территорию для дифференциации</v>
      </c>
      <c r="BG18" s="150"/>
      <c r="BH18" s="150"/>
      <c r="BI18" s="43">
        <v>0</v>
      </c>
    </row>
    <row r="19" hidden="1" customHeight="1" spans="61:61">
      <c r="BI19" s="42">
        <v>0</v>
      </c>
    </row>
    <row r="20" hidden="1" customHeight="1" spans="30:61">
      <c r="AD20" s="306" t="s">
        <v>19</v>
      </c>
      <c r="AE20" s="1083"/>
      <c r="AF20" s="306">
        <v>1</v>
      </c>
      <c r="AG20" s="1095"/>
      <c r="AH20" s="306" t="s">
        <v>19</v>
      </c>
      <c r="AI20" s="1083"/>
      <c r="AJ20" s="306">
        <v>1</v>
      </c>
      <c r="AK20" s="1095"/>
      <c r="AL20" s="306" t="s">
        <v>19</v>
      </c>
      <c r="AM20" s="1096"/>
      <c r="AN20" s="306">
        <v>1</v>
      </c>
      <c r="AO20" s="627"/>
      <c r="AP20" s="306" t="s">
        <v>19</v>
      </c>
      <c r="AQ20" s="1096"/>
      <c r="AR20" s="306">
        <v>1</v>
      </c>
      <c r="AS20" s="627"/>
      <c r="AT20" s="102"/>
      <c r="AU20" s="1105"/>
      <c r="AV20" s="102"/>
      <c r="AW20" s="1105"/>
      <c r="AX20" s="1110"/>
      <c r="AY20" s="493" t="s">
        <v>62</v>
      </c>
      <c r="AZ20" s="1110"/>
      <c r="BA20" s="493" t="s">
        <v>62</v>
      </c>
      <c r="BI20" s="42">
        <v>0</v>
      </c>
    </row>
    <row r="21" hidden="1" customHeight="1" spans="56:61">
      <c r="BD21" s="36"/>
      <c r="BE21" s="36"/>
      <c r="BF21" s="36"/>
      <c r="BG21" s="36"/>
      <c r="BH21" s="36"/>
      <c r="BI21" s="42">
        <v>0</v>
      </c>
    </row>
    <row r="22" hidden="1" customHeight="1" spans="15:61">
      <c r="O22" s="1046" t="s">
        <v>420</v>
      </c>
      <c r="Z22" s="1084"/>
      <c r="AB22" s="1084"/>
      <c r="AX22" s="1084"/>
      <c r="AZ22" s="1084"/>
      <c r="BD22" s="36"/>
      <c r="BE22" s="36"/>
      <c r="BF22" s="36"/>
      <c r="BG22" s="36"/>
      <c r="BH22" s="36"/>
      <c r="BI22" s="42">
        <v>0</v>
      </c>
    </row>
    <row r="23" hidden="1" customHeight="1" spans="56:61">
      <c r="BD23" s="36"/>
      <c r="BE23" s="36"/>
      <c r="BF23" s="36"/>
      <c r="BG23" s="36"/>
      <c r="BH23" s="36"/>
      <c r="BI23" s="42">
        <v>0</v>
      </c>
    </row>
    <row r="24" s="1036" customFormat="1" hidden="1" customHeight="1" spans="13:61">
      <c r="M24" s="48"/>
      <c r="N24" s="48"/>
      <c r="O24" s="1036" t="s">
        <v>421</v>
      </c>
      <c r="P24" s="48"/>
      <c r="Q24" s="1072"/>
      <c r="R24" s="1072"/>
      <c r="AA24" s="1036" t="s">
        <v>423</v>
      </c>
      <c r="AC24" s="1036" t="s">
        <v>424</v>
      </c>
      <c r="AD24" s="1036" t="s">
        <v>471</v>
      </c>
      <c r="AH24" s="1036" t="s">
        <v>471</v>
      </c>
      <c r="AK24" s="1036" t="s">
        <v>508</v>
      </c>
      <c r="AL24" s="1036" t="s">
        <v>471</v>
      </c>
      <c r="AP24" s="1036" t="s">
        <v>471</v>
      </c>
      <c r="AY24" s="1036" t="s">
        <v>423</v>
      </c>
      <c r="BA24" s="1036" t="s">
        <v>424</v>
      </c>
      <c r="BD24" s="1111"/>
      <c r="BE24" s="1111"/>
      <c r="BF24" s="1111"/>
      <c r="BG24" s="1111"/>
      <c r="BH24" s="1111"/>
      <c r="BI24" s="1036">
        <v>0</v>
      </c>
    </row>
    <row r="25" hidden="1" customHeight="1" spans="15:61">
      <c r="O25" s="1040"/>
      <c r="BD25" s="36"/>
      <c r="BE25" s="36"/>
      <c r="BF25" s="36"/>
      <c r="BG25" s="36"/>
      <c r="BH25" s="36"/>
      <c r="BI25" s="42">
        <v>0</v>
      </c>
    </row>
    <row r="26" hidden="1" customHeight="1" spans="15:61">
      <c r="O26" s="1040"/>
      <c r="BD26" s="36"/>
      <c r="BE26" s="36"/>
      <c r="BF26" s="36"/>
      <c r="BG26" s="36"/>
      <c r="BH26" s="36"/>
      <c r="BI26" s="42">
        <v>0</v>
      </c>
    </row>
    <row r="27" ht="14.7" customHeight="1" spans="17:61">
      <c r="Q27" s="1073"/>
      <c r="R27" s="50"/>
      <c r="S27" s="51"/>
      <c r="T27" s="52"/>
      <c r="U27" s="52"/>
      <c r="BI27" s="42">
        <v>14</v>
      </c>
    </row>
    <row r="28" ht="14.7" customHeight="1" spans="17:61">
      <c r="Q28" s="1073"/>
      <c r="R28" s="50"/>
      <c r="S28" s="75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750"/>
      <c r="U28" s="750"/>
      <c r="V28" s="750"/>
      <c r="W28" s="750"/>
      <c r="X28" s="750"/>
      <c r="Y28" s="750"/>
      <c r="Z28" s="750"/>
      <c r="AA28" s="750"/>
      <c r="AB28" s="750"/>
      <c r="AC28" s="750"/>
      <c r="AD28" s="750"/>
      <c r="AE28" s="750"/>
      <c r="AF28" s="750"/>
      <c r="AG28" s="750"/>
      <c r="AH28" s="750"/>
      <c r="AI28" s="750"/>
      <c r="AJ28" s="750"/>
      <c r="AK28" s="750"/>
      <c r="AL28" s="750"/>
      <c r="AM28" s="750"/>
      <c r="AN28" s="750"/>
      <c r="AO28" s="750"/>
      <c r="AP28" s="750"/>
      <c r="AQ28" s="750"/>
      <c r="AR28" s="750"/>
      <c r="AS28" s="750"/>
      <c r="AT28" s="750"/>
      <c r="AU28" s="750"/>
      <c r="AV28" s="750"/>
      <c r="AW28" s="750"/>
      <c r="AX28" s="750"/>
      <c r="AY28" s="750"/>
      <c r="AZ28" s="750"/>
      <c r="BA28" s="120"/>
      <c r="BI28" s="42">
        <v>14</v>
      </c>
    </row>
    <row r="29" ht="14.7" customHeight="1" spans="17:61">
      <c r="Q29" s="1073"/>
      <c r="R29" s="50"/>
      <c r="S29" s="657" t="str">
        <f>IF(org=0,"Не определено",org)</f>
        <v>АО "ОЭЗ ППТ "Алабуга"</v>
      </c>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c r="AR29" s="657"/>
      <c r="AS29" s="657"/>
      <c r="AT29" s="657"/>
      <c r="AU29" s="657"/>
      <c r="AV29" s="657"/>
      <c r="AW29" s="657"/>
      <c r="AX29" s="657"/>
      <c r="AY29" s="657"/>
      <c r="AZ29" s="657"/>
      <c r="BA29" s="120"/>
      <c r="BI29" s="42">
        <v>14</v>
      </c>
    </row>
    <row r="30" customHeight="1" spans="17:61">
      <c r="Q30" s="1073"/>
      <c r="R30" s="50"/>
      <c r="S30" s="51"/>
      <c r="T30" s="52"/>
      <c r="U30" s="52"/>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I30" s="42">
        <v>0</v>
      </c>
    </row>
    <row r="31" s="35" customFormat="1" ht="25.5" customHeight="1" spans="1:61">
      <c r="A31" s="44"/>
      <c r="B31" s="44"/>
      <c r="C31" s="44"/>
      <c r="D31" s="44"/>
      <c r="E31" s="44"/>
      <c r="F31" s="44"/>
      <c r="G31" s="44"/>
      <c r="H31" s="44"/>
      <c r="I31" s="44"/>
      <c r="J31" s="44"/>
      <c r="K31" s="44"/>
      <c r="L31" s="1040"/>
      <c r="M31" s="44"/>
      <c r="N31" s="44"/>
      <c r="O31" s="44"/>
      <c r="P31" s="44"/>
      <c r="Q31" s="44"/>
      <c r="S31" s="57" t="s">
        <v>42</v>
      </c>
      <c r="T31" s="57"/>
      <c r="U31" s="1074"/>
      <c r="V31" s="59" t="str">
        <f>IF(TITLE_NAME_OR_PR_CHANGE="",IF(TITLE_NAME_OR_PR="","",TITLE_NAME_OR_PR),TITLE_NAME_OR_PR_CHANGE)</f>
        <v>Государственный комитет РТ по тарифам</v>
      </c>
      <c r="W31" s="59"/>
      <c r="X31" s="59"/>
      <c r="Y31" s="59"/>
      <c r="Z31" s="59"/>
      <c r="AA31" s="59"/>
      <c r="AB31" s="59"/>
      <c r="AC31" s="42"/>
      <c r="AD31" s="59" t="str">
        <f>IF(TITLE_NAME_OR_PR_CHANGE="",IF(TITLE_NAME_OR_PR="","",TITLE_NAME_OR_PR),TITLE_NAME_OR_PR_CHANGE)</f>
        <v>Государственный комитет РТ по тарифам</v>
      </c>
      <c r="AE31" s="59"/>
      <c r="AF31" s="59"/>
      <c r="AG31" s="59"/>
      <c r="AH31" s="59"/>
      <c r="AI31" s="59"/>
      <c r="AJ31" s="59"/>
      <c r="AK31" s="59"/>
      <c r="AL31" s="59"/>
      <c r="AM31" s="59"/>
      <c r="AN31" s="59"/>
      <c r="AO31" s="59"/>
      <c r="AP31" s="59"/>
      <c r="AQ31" s="59"/>
      <c r="AR31" s="59"/>
      <c r="AS31" s="59"/>
      <c r="AT31" s="59"/>
      <c r="AU31" s="59"/>
      <c r="AV31" s="59"/>
      <c r="AW31" s="59"/>
      <c r="AX31" s="59"/>
      <c r="AY31" s="59"/>
      <c r="AZ31" s="59"/>
      <c r="BA31" s="42"/>
      <c r="BB31" s="42"/>
      <c r="BC31" s="121"/>
      <c r="BD31" s="150"/>
      <c r="BE31" s="150"/>
      <c r="BF31" s="150"/>
      <c r="BG31" s="150"/>
      <c r="BH31" s="150"/>
      <c r="BI31" s="35">
        <v>0</v>
      </c>
    </row>
    <row r="32" s="35" customFormat="1" ht="18.75" customHeight="1" spans="1:61">
      <c r="A32" s="44"/>
      <c r="B32" s="44"/>
      <c r="C32" s="44"/>
      <c r="D32" s="44"/>
      <c r="E32" s="44"/>
      <c r="F32" s="44"/>
      <c r="G32" s="44"/>
      <c r="H32" s="44"/>
      <c r="I32" s="44"/>
      <c r="J32" s="44"/>
      <c r="K32" s="44"/>
      <c r="L32" s="1040"/>
      <c r="M32" s="44"/>
      <c r="N32" s="44"/>
      <c r="O32" s="44"/>
      <c r="P32" s="44"/>
      <c r="Q32" s="44"/>
      <c r="S32" s="57" t="s">
        <v>426</v>
      </c>
      <c r="T32" s="57"/>
      <c r="U32" s="1074"/>
      <c r="V32" s="788">
        <f>IF(TITLE_DATE_PR_CHANGE="",IF(TITLE_DATE_PR="","",TITLE_DATE_PR),TITLE_DATE_PR_CHANGE)</f>
        <v>45525</v>
      </c>
      <c r="W32" s="788"/>
      <c r="X32" s="788"/>
      <c r="Y32" s="788"/>
      <c r="Z32" s="788"/>
      <c r="AA32" s="788"/>
      <c r="AB32" s="788"/>
      <c r="AC32" s="42"/>
      <c r="AD32" s="788">
        <f>IF(TITLE_DATE_PR_CHANGE="",IF(TITLE_DATE_PR="","",TITLE_DATE_PR),TITLE_DATE_PR_CHANGE)</f>
        <v>45525</v>
      </c>
      <c r="AE32" s="788"/>
      <c r="AF32" s="788"/>
      <c r="AG32" s="788"/>
      <c r="AH32" s="788"/>
      <c r="AI32" s="788"/>
      <c r="AJ32" s="788"/>
      <c r="AK32" s="788"/>
      <c r="AL32" s="788"/>
      <c r="AM32" s="788"/>
      <c r="AN32" s="788"/>
      <c r="AO32" s="788"/>
      <c r="AP32" s="788"/>
      <c r="AQ32" s="788"/>
      <c r="AR32" s="788"/>
      <c r="AS32" s="788"/>
      <c r="AT32" s="788"/>
      <c r="AU32" s="788"/>
      <c r="AV32" s="788"/>
      <c r="AW32" s="788"/>
      <c r="AX32" s="788"/>
      <c r="AY32" s="788"/>
      <c r="AZ32" s="788"/>
      <c r="BA32" s="42"/>
      <c r="BB32" s="42"/>
      <c r="BC32" s="121"/>
      <c r="BD32" s="150"/>
      <c r="BE32" s="150"/>
      <c r="BF32" s="150"/>
      <c r="BG32" s="150"/>
      <c r="BH32" s="150"/>
      <c r="BI32" s="35">
        <v>0</v>
      </c>
    </row>
    <row r="33" s="35" customFormat="1" ht="18.75" customHeight="1" spans="1:61">
      <c r="A33" s="44"/>
      <c r="B33" s="44"/>
      <c r="C33" s="44"/>
      <c r="D33" s="44"/>
      <c r="E33" s="44"/>
      <c r="F33" s="44"/>
      <c r="G33" s="44"/>
      <c r="H33" s="44"/>
      <c r="I33" s="44"/>
      <c r="J33" s="44"/>
      <c r="K33" s="44"/>
      <c r="L33" s="1040"/>
      <c r="M33" s="44"/>
      <c r="N33" s="44"/>
      <c r="O33" s="44"/>
      <c r="P33" s="44"/>
      <c r="Q33" s="44"/>
      <c r="S33" s="57" t="s">
        <v>427</v>
      </c>
      <c r="T33" s="57"/>
      <c r="U33" s="1074"/>
      <c r="V33" s="59" t="str">
        <f>IF(TITLE_NUMBER_PR_CHANGE="",IF(TITLE_NUMBER_PR="","",TITLE_NUMBER_PR),TITLE_NUMBER_PR_CHANGE)</f>
        <v>108-73/тп-2024</v>
      </c>
      <c r="W33" s="59"/>
      <c r="X33" s="59"/>
      <c r="Y33" s="59"/>
      <c r="Z33" s="59"/>
      <c r="AA33" s="59"/>
      <c r="AB33" s="59"/>
      <c r="AC33" s="42"/>
      <c r="AD33" s="59" t="str">
        <f>IF(TITLE_NUMBER_PR_CHANGE="",IF(TITLE_NUMBER_PR="","",TITLE_NUMBER_PR),TITLE_NUMBER_PR_CHANGE)</f>
        <v>108-73/тп-2024</v>
      </c>
      <c r="AE33" s="59"/>
      <c r="AF33" s="59"/>
      <c r="AG33" s="59"/>
      <c r="AH33" s="59"/>
      <c r="AI33" s="59"/>
      <c r="AJ33" s="59"/>
      <c r="AK33" s="59"/>
      <c r="AL33" s="59"/>
      <c r="AM33" s="59"/>
      <c r="AN33" s="59"/>
      <c r="AO33" s="59"/>
      <c r="AP33" s="59"/>
      <c r="AQ33" s="59"/>
      <c r="AR33" s="59"/>
      <c r="AS33" s="59"/>
      <c r="AT33" s="59"/>
      <c r="AU33" s="59"/>
      <c r="AV33" s="59"/>
      <c r="AW33" s="59"/>
      <c r="AX33" s="59"/>
      <c r="AY33" s="59"/>
      <c r="AZ33" s="59"/>
      <c r="BA33" s="42"/>
      <c r="BB33" s="42"/>
      <c r="BC33" s="121"/>
      <c r="BD33" s="150"/>
      <c r="BE33" s="150"/>
      <c r="BF33" s="150"/>
      <c r="BG33" s="150"/>
      <c r="BH33" s="150"/>
      <c r="BI33" s="35">
        <v>0</v>
      </c>
    </row>
    <row r="34" s="35" customFormat="1" ht="18.75" customHeight="1" spans="1:61">
      <c r="A34" s="44"/>
      <c r="B34" s="44"/>
      <c r="C34" s="44"/>
      <c r="D34" s="44"/>
      <c r="E34" s="44"/>
      <c r="F34" s="44"/>
      <c r="G34" s="44"/>
      <c r="H34" s="44"/>
      <c r="I34" s="44"/>
      <c r="J34" s="44"/>
      <c r="K34" s="44"/>
      <c r="L34" s="1040"/>
      <c r="M34" s="44"/>
      <c r="N34" s="44"/>
      <c r="O34" s="44"/>
      <c r="P34" s="44"/>
      <c r="Q34" s="44"/>
      <c r="S34" s="57" t="s">
        <v>44</v>
      </c>
      <c r="T34" s="57"/>
      <c r="U34" s="1074"/>
      <c r="V34" s="59" t="str">
        <f>IF(TITLE_IST_PUB_CHANGE="",IF(TITLE_IST_PUB="","",TITLE_IST_PUB),TITLE_IST_PUB_CHANGE)</f>
        <v>"Официальный портал правовой информации
Республики Татарстан"</v>
      </c>
      <c r="W34" s="59"/>
      <c r="X34" s="59"/>
      <c r="Y34" s="59"/>
      <c r="Z34" s="59"/>
      <c r="AA34" s="59"/>
      <c r="AB34" s="59"/>
      <c r="AC34" s="42"/>
      <c r="AD34" s="59" t="str">
        <f>IF(TITLE_IST_PUB_CHANGE="",IF(TITLE_IST_PUB="","",TITLE_IST_PUB),TITLE_IST_PUB_CHANGE)</f>
        <v>"Официальный портал правовой информации
Республики Татарстан"</v>
      </c>
      <c r="AE34" s="59"/>
      <c r="AF34" s="59"/>
      <c r="AG34" s="59"/>
      <c r="AH34" s="59"/>
      <c r="AI34" s="59"/>
      <c r="AJ34" s="59"/>
      <c r="AK34" s="59"/>
      <c r="AL34" s="59"/>
      <c r="AM34" s="59"/>
      <c r="AN34" s="59"/>
      <c r="AO34" s="59"/>
      <c r="AP34" s="59"/>
      <c r="AQ34" s="59"/>
      <c r="AR34" s="59"/>
      <c r="AS34" s="59"/>
      <c r="AT34" s="59"/>
      <c r="AU34" s="59"/>
      <c r="AV34" s="59"/>
      <c r="AW34" s="59"/>
      <c r="AX34" s="59"/>
      <c r="AY34" s="59"/>
      <c r="AZ34" s="59"/>
      <c r="BA34" s="42"/>
      <c r="BB34" s="42"/>
      <c r="BC34" s="121"/>
      <c r="BD34" s="150"/>
      <c r="BE34" s="150"/>
      <c r="BF34" s="150"/>
      <c r="BG34" s="150"/>
      <c r="BH34" s="150"/>
      <c r="BI34" s="35">
        <v>0</v>
      </c>
    </row>
    <row r="35" hidden="1" customHeight="1" spans="17:61">
      <c r="Q35" s="1073"/>
      <c r="R35" s="50"/>
      <c r="S35" s="51"/>
      <c r="T35" s="52"/>
      <c r="U35" s="52"/>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I35" s="42">
        <v>0</v>
      </c>
    </row>
    <row r="36" s="35" customFormat="1" ht="18.75" hidden="1" customHeight="1" spans="1:61">
      <c r="A36" s="44"/>
      <c r="B36" s="44"/>
      <c r="C36" s="44"/>
      <c r="D36" s="44"/>
      <c r="E36" s="44"/>
      <c r="F36" s="44"/>
      <c r="G36" s="44"/>
      <c r="H36" s="44"/>
      <c r="I36" s="44"/>
      <c r="J36" s="44"/>
      <c r="K36" s="44"/>
      <c r="L36" s="1040"/>
      <c r="M36" s="44"/>
      <c r="N36" s="44"/>
      <c r="O36" s="44"/>
      <c r="P36" s="44"/>
      <c r="Q36" s="44"/>
      <c r="S36" s="57" t="s">
        <v>426</v>
      </c>
      <c r="T36" s="57"/>
      <c r="U36" s="1074"/>
      <c r="V36" s="788">
        <f>IF(TITLE_DATE_PR_CHANGE="",IF(TITLE_DATE_PR="","",TITLE_DATE_PR),TITLE_DATE_PR_CHANGE)</f>
        <v>45525</v>
      </c>
      <c r="W36" s="788"/>
      <c r="X36" s="788"/>
      <c r="Y36" s="788"/>
      <c r="Z36" s="788"/>
      <c r="AA36" s="788"/>
      <c r="AB36" s="788"/>
      <c r="AC36" s="42"/>
      <c r="AD36" s="788">
        <f>IF(TITLE_DATE_PR_CHANGE="",IF(TITLE_DATE_PR="","",TITLE_DATE_PR),TITLE_DATE_PR_CHANGE)</f>
        <v>45525</v>
      </c>
      <c r="AE36" s="788"/>
      <c r="AF36" s="788"/>
      <c r="AG36" s="788"/>
      <c r="AH36" s="788"/>
      <c r="AI36" s="788"/>
      <c r="AJ36" s="788"/>
      <c r="AK36" s="788"/>
      <c r="AL36" s="788"/>
      <c r="AM36" s="788"/>
      <c r="AN36" s="788"/>
      <c r="AO36" s="788"/>
      <c r="AP36" s="788"/>
      <c r="AQ36" s="788"/>
      <c r="AR36" s="788"/>
      <c r="AS36" s="788"/>
      <c r="AT36" s="788"/>
      <c r="AU36" s="788"/>
      <c r="AV36" s="788"/>
      <c r="AW36" s="788"/>
      <c r="AX36" s="788"/>
      <c r="AY36" s="788"/>
      <c r="AZ36" s="788"/>
      <c r="BA36" s="42"/>
      <c r="BB36" s="42"/>
      <c r="BC36" s="121"/>
      <c r="BD36" s="150"/>
      <c r="BE36" s="150"/>
      <c r="BF36" s="150"/>
      <c r="BG36" s="150"/>
      <c r="BH36" s="150"/>
      <c r="BI36" s="35">
        <v>0</v>
      </c>
    </row>
    <row r="37" s="35" customFormat="1" ht="18.75" hidden="1" customHeight="1" spans="1:61">
      <c r="A37" s="44"/>
      <c r="B37" s="44"/>
      <c r="C37" s="44"/>
      <c r="D37" s="44"/>
      <c r="E37" s="44"/>
      <c r="F37" s="44"/>
      <c r="G37" s="44"/>
      <c r="H37" s="44"/>
      <c r="I37" s="44"/>
      <c r="J37" s="44"/>
      <c r="K37" s="44"/>
      <c r="L37" s="1040"/>
      <c r="M37" s="44"/>
      <c r="N37" s="44"/>
      <c r="O37" s="44"/>
      <c r="P37" s="44"/>
      <c r="Q37" s="44"/>
      <c r="S37" s="57" t="s">
        <v>427</v>
      </c>
      <c r="T37" s="57"/>
      <c r="U37" s="1074"/>
      <c r="V37" s="59" t="str">
        <f>IF(TITLE_NUMBER_PR_CHANGE="",IF(TITLE_NUMBER_PR="","",TITLE_NUMBER_PR),TITLE_NUMBER_PR_CHANGE)</f>
        <v>108-73/тп-2024</v>
      </c>
      <c r="W37" s="59"/>
      <c r="X37" s="59"/>
      <c r="Y37" s="59"/>
      <c r="Z37" s="59"/>
      <c r="AA37" s="59"/>
      <c r="AB37" s="59"/>
      <c r="AC37" s="42"/>
      <c r="AD37" s="59" t="str">
        <f>IF(TITLE_NUMBER_PR_CHANGE="",IF(TITLE_NUMBER_PR="","",TITLE_NUMBER_PR),TITLE_NUMBER_PR_CHANGE)</f>
        <v>108-73/тп-2024</v>
      </c>
      <c r="AE37" s="59"/>
      <c r="AF37" s="59"/>
      <c r="AG37" s="59"/>
      <c r="AH37" s="59"/>
      <c r="AI37" s="59"/>
      <c r="AJ37" s="59"/>
      <c r="AK37" s="59"/>
      <c r="AL37" s="59"/>
      <c r="AM37" s="59"/>
      <c r="AN37" s="59"/>
      <c r="AO37" s="59"/>
      <c r="AP37" s="59"/>
      <c r="AQ37" s="59"/>
      <c r="AR37" s="59"/>
      <c r="AS37" s="59"/>
      <c r="AT37" s="59"/>
      <c r="AU37" s="59"/>
      <c r="AV37" s="59"/>
      <c r="AW37" s="59"/>
      <c r="AX37" s="59"/>
      <c r="AY37" s="59"/>
      <c r="AZ37" s="59"/>
      <c r="BA37" s="42"/>
      <c r="BB37" s="42"/>
      <c r="BC37" s="121"/>
      <c r="BD37" s="150"/>
      <c r="BE37" s="150"/>
      <c r="BF37" s="150"/>
      <c r="BG37" s="150"/>
      <c r="BH37" s="150"/>
      <c r="BI37" s="35">
        <v>0</v>
      </c>
    </row>
    <row r="38" s="35" customFormat="1" hidden="1" customHeight="1" spans="1:61">
      <c r="A38" s="44"/>
      <c r="B38" s="44"/>
      <c r="C38" s="44"/>
      <c r="D38" s="44"/>
      <c r="E38" s="44"/>
      <c r="F38" s="44"/>
      <c r="G38" s="44"/>
      <c r="H38" s="44"/>
      <c r="I38" s="44"/>
      <c r="J38" s="44"/>
      <c r="K38" s="44"/>
      <c r="L38" s="1040"/>
      <c r="M38" s="44"/>
      <c r="N38" s="44"/>
      <c r="O38" s="44"/>
      <c r="P38" s="44"/>
      <c r="Q38" s="44"/>
      <c r="S38" s="42"/>
      <c r="T38" s="42"/>
      <c r="U38" s="60"/>
      <c r="V38" s="42"/>
      <c r="W38" s="42"/>
      <c r="X38" s="42"/>
      <c r="Y38" s="42"/>
      <c r="Z38" s="42"/>
      <c r="AA38" s="42"/>
      <c r="AB38" s="42"/>
      <c r="AC38" s="43" t="s">
        <v>430</v>
      </c>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3" t="s">
        <v>430</v>
      </c>
      <c r="BD38" s="150"/>
      <c r="BE38" s="150"/>
      <c r="BF38" s="150"/>
      <c r="BG38" s="150"/>
      <c r="BH38" s="150"/>
      <c r="BI38" s="35">
        <v>0</v>
      </c>
    </row>
    <row r="39" ht="14.7" customHeight="1" spans="17:61">
      <c r="Q39" s="1073"/>
      <c r="R39" s="50"/>
      <c r="S39" s="51"/>
      <c r="T39" s="52"/>
      <c r="U39" s="61"/>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I39" s="42">
        <v>14</v>
      </c>
    </row>
    <row r="40" ht="14.7" customHeight="1" spans="17:61">
      <c r="Q40" s="1073"/>
      <c r="R40" s="50"/>
      <c r="S40" s="63" t="s">
        <v>305</v>
      </c>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t="s">
        <v>306</v>
      </c>
      <c r="BI40" s="42">
        <v>14</v>
      </c>
    </row>
    <row r="41" ht="14.7" customHeight="1" spans="17:61">
      <c r="Q41" s="1073"/>
      <c r="R41" s="50"/>
      <c r="S41" s="64" t="s">
        <v>89</v>
      </c>
      <c r="T41" s="65" t="s">
        <v>509</v>
      </c>
      <c r="U41" s="66"/>
      <c r="V41" s="67" t="s">
        <v>432</v>
      </c>
      <c r="W41" s="68"/>
      <c r="X41" s="68"/>
      <c r="Y41" s="68"/>
      <c r="Z41" s="68"/>
      <c r="AA41" s="68"/>
      <c r="AB41" s="122"/>
      <c r="AC41" s="123" t="s">
        <v>433</v>
      </c>
      <c r="AD41" s="902" t="s">
        <v>534</v>
      </c>
      <c r="AE41" s="1085"/>
      <c r="AF41" s="1085"/>
      <c r="AG41" s="1097"/>
      <c r="AH41" s="902" t="s">
        <v>535</v>
      </c>
      <c r="AI41" s="1085"/>
      <c r="AJ41" s="1085"/>
      <c r="AK41" s="1097"/>
      <c r="AL41" s="902" t="s">
        <v>536</v>
      </c>
      <c r="AM41" s="1085"/>
      <c r="AN41" s="1085"/>
      <c r="AO41" s="1097"/>
      <c r="AP41" s="902" t="s">
        <v>513</v>
      </c>
      <c r="AQ41" s="1085"/>
      <c r="AR41" s="1085"/>
      <c r="AS41" s="1097"/>
      <c r="AT41" s="67" t="s">
        <v>432</v>
      </c>
      <c r="AU41" s="68"/>
      <c r="AV41" s="68"/>
      <c r="AW41" s="68"/>
      <c r="AX41" s="68"/>
      <c r="AY41" s="68"/>
      <c r="AZ41" s="122"/>
      <c r="BA41" s="123" t="s">
        <v>433</v>
      </c>
      <c r="BB41" s="124" t="s">
        <v>435</v>
      </c>
      <c r="BC41" s="63"/>
      <c r="BI41" s="42">
        <v>14</v>
      </c>
    </row>
    <row r="42" ht="35.7" customHeight="1" spans="17:61">
      <c r="Q42" s="1073"/>
      <c r="R42" s="50"/>
      <c r="S42" s="64"/>
      <c r="T42" s="65"/>
      <c r="U42" s="69"/>
      <c r="V42" s="892" t="s">
        <v>514</v>
      </c>
      <c r="W42" s="893"/>
      <c r="X42" s="892" t="s">
        <v>515</v>
      </c>
      <c r="Y42" s="893"/>
      <c r="Z42" s="892" t="s">
        <v>516</v>
      </c>
      <c r="AA42" s="1086"/>
      <c r="AB42" s="893"/>
      <c r="AC42" s="128"/>
      <c r="AD42" s="1087"/>
      <c r="AE42" s="1088"/>
      <c r="AF42" s="1088"/>
      <c r="AG42" s="1098"/>
      <c r="AH42" s="1087"/>
      <c r="AI42" s="1088"/>
      <c r="AJ42" s="1088"/>
      <c r="AK42" s="1098"/>
      <c r="AL42" s="1087"/>
      <c r="AM42" s="1088"/>
      <c r="AN42" s="1088"/>
      <c r="AO42" s="1098"/>
      <c r="AP42" s="1087"/>
      <c r="AQ42" s="1088"/>
      <c r="AR42" s="1088"/>
      <c r="AS42" s="1098"/>
      <c r="AT42" s="892" t="s">
        <v>537</v>
      </c>
      <c r="AU42" s="893"/>
      <c r="AV42" s="892" t="s">
        <v>538</v>
      </c>
      <c r="AW42" s="893"/>
      <c r="AX42" s="892" t="s">
        <v>516</v>
      </c>
      <c r="AY42" s="1086"/>
      <c r="AZ42" s="893"/>
      <c r="BA42" s="128"/>
      <c r="BB42" s="129"/>
      <c r="BC42" s="63"/>
      <c r="BI42" s="42">
        <v>34</v>
      </c>
    </row>
    <row r="43" ht="14.7" customHeight="1" spans="17:61">
      <c r="Q43" s="1073"/>
      <c r="R43" s="50"/>
      <c r="S43" s="64"/>
      <c r="T43" s="65"/>
      <c r="U43" s="69"/>
      <c r="V43" s="896"/>
      <c r="W43" s="897"/>
      <c r="X43" s="896"/>
      <c r="Y43" s="897"/>
      <c r="Z43" s="896"/>
      <c r="AA43" s="1089"/>
      <c r="AB43" s="897"/>
      <c r="AC43" s="128"/>
      <c r="AD43" s="1087"/>
      <c r="AE43" s="1088"/>
      <c r="AF43" s="1088"/>
      <c r="AG43" s="1098"/>
      <c r="AH43" s="1087"/>
      <c r="AI43" s="1088"/>
      <c r="AJ43" s="1088"/>
      <c r="AK43" s="1098"/>
      <c r="AL43" s="1087"/>
      <c r="AM43" s="1088"/>
      <c r="AN43" s="1088"/>
      <c r="AO43" s="1098"/>
      <c r="AP43" s="1087"/>
      <c r="AQ43" s="1088"/>
      <c r="AR43" s="1088"/>
      <c r="AS43" s="1098"/>
      <c r="AT43" s="896"/>
      <c r="AU43" s="897"/>
      <c r="AV43" s="896"/>
      <c r="AW43" s="897"/>
      <c r="AX43" s="896"/>
      <c r="AY43" s="1089"/>
      <c r="AZ43" s="897"/>
      <c r="BA43" s="128"/>
      <c r="BB43" s="129"/>
      <c r="BC43" s="63"/>
      <c r="BI43" s="42">
        <v>14</v>
      </c>
    </row>
    <row r="44" ht="14.7" customHeight="1" spans="1:61">
      <c r="A44" s="44"/>
      <c r="B44" s="44" t="s">
        <v>137</v>
      </c>
      <c r="C44" s="44" t="s">
        <v>138</v>
      </c>
      <c r="D44" s="44" t="s">
        <v>139</v>
      </c>
      <c r="E44" s="1040" t="s">
        <v>440</v>
      </c>
      <c r="F44" s="1040" t="s">
        <v>441</v>
      </c>
      <c r="G44" s="1040" t="s">
        <v>442</v>
      </c>
      <c r="H44" s="1040" t="s">
        <v>443</v>
      </c>
      <c r="I44" s="1040" t="s">
        <v>444</v>
      </c>
      <c r="J44" s="1040" t="s">
        <v>445</v>
      </c>
      <c r="K44" s="1040" t="s">
        <v>446</v>
      </c>
      <c r="L44" s="1040" t="s">
        <v>421</v>
      </c>
      <c r="Q44" s="1073"/>
      <c r="R44" s="50"/>
      <c r="S44" s="64"/>
      <c r="T44" s="65"/>
      <c r="U44" s="71"/>
      <c r="V44" s="65" t="s">
        <v>480</v>
      </c>
      <c r="W44" s="65" t="s">
        <v>481</v>
      </c>
      <c r="X44" s="65" t="s">
        <v>480</v>
      </c>
      <c r="Y44" s="65" t="s">
        <v>481</v>
      </c>
      <c r="Z44" s="130" t="s">
        <v>449</v>
      </c>
      <c r="AA44" s="131" t="s">
        <v>450</v>
      </c>
      <c r="AB44" s="132"/>
      <c r="AC44" s="133"/>
      <c r="AD44" s="1090"/>
      <c r="AE44" s="1091"/>
      <c r="AF44" s="1091"/>
      <c r="AG44" s="1099"/>
      <c r="AH44" s="1090"/>
      <c r="AI44" s="1091"/>
      <c r="AJ44" s="1091"/>
      <c r="AK44" s="1099"/>
      <c r="AL44" s="1090"/>
      <c r="AM44" s="1091"/>
      <c r="AN44" s="1091"/>
      <c r="AO44" s="1099"/>
      <c r="AP44" s="1090"/>
      <c r="AQ44" s="1091"/>
      <c r="AR44" s="1091"/>
      <c r="AS44" s="1099"/>
      <c r="AT44" s="65" t="s">
        <v>480</v>
      </c>
      <c r="AU44" s="65" t="s">
        <v>481</v>
      </c>
      <c r="AV44" s="65" t="s">
        <v>480</v>
      </c>
      <c r="AW44" s="65" t="s">
        <v>481</v>
      </c>
      <c r="AX44" s="130" t="s">
        <v>449</v>
      </c>
      <c r="AY44" s="131" t="s">
        <v>450</v>
      </c>
      <c r="AZ44" s="132"/>
      <c r="BA44" s="133"/>
      <c r="BB44" s="134"/>
      <c r="BC44" s="63"/>
      <c r="BI44" s="42">
        <v>14</v>
      </c>
    </row>
    <row r="45" s="36" customFormat="1" ht="11.25" hidden="1" customHeight="1" spans="1:61">
      <c r="A45" s="44"/>
      <c r="B45" s="44"/>
      <c r="C45" s="44"/>
      <c r="D45" s="44"/>
      <c r="E45" s="44"/>
      <c r="F45" s="44"/>
      <c r="G45" s="44"/>
      <c r="H45" s="44"/>
      <c r="I45" s="44"/>
      <c r="J45" s="44"/>
      <c r="K45" s="44"/>
      <c r="L45" s="1040"/>
      <c r="M45" s="38"/>
      <c r="N45" s="38"/>
      <c r="O45" s="38"/>
      <c r="P45" s="1043"/>
      <c r="Q45" s="75"/>
      <c r="R45" s="75">
        <v>1</v>
      </c>
      <c r="S45" s="76" t="s">
        <v>111</v>
      </c>
      <c r="T45" s="77" t="s">
        <v>112</v>
      </c>
      <c r="U45" s="78" t="str">
        <f ca="1">OFFSET(U45,0,-1)</f>
        <v>2</v>
      </c>
      <c r="V45" s="79">
        <f ca="1" t="shared" ref="V45:AA45" si="2">OFFSET(V45,0,-1)+1</f>
        <v>3</v>
      </c>
      <c r="W45" s="79">
        <f ca="1" t="shared" si="2"/>
        <v>4</v>
      </c>
      <c r="X45" s="79">
        <f ca="1" t="shared" si="2"/>
        <v>5</v>
      </c>
      <c r="Y45" s="79">
        <f ca="1" t="shared" si="2"/>
        <v>6</v>
      </c>
      <c r="Z45" s="79">
        <f ca="1" t="shared" si="2"/>
        <v>7</v>
      </c>
      <c r="AA45" s="79">
        <f ca="1" t="shared" si="2"/>
        <v>8</v>
      </c>
      <c r="AB45" s="79"/>
      <c r="AC45" s="79">
        <f ca="1">OFFSET(AC45,0,-2)+1</f>
        <v>9</v>
      </c>
      <c r="AD45" s="79">
        <f ca="1">OFFSET(AD45,0,-1)+1</f>
        <v>10</v>
      </c>
      <c r="AE45" s="79"/>
      <c r="AF45" s="79"/>
      <c r="AG45" s="79"/>
      <c r="AH45" s="79"/>
      <c r="AI45" s="79"/>
      <c r="AJ45" s="79"/>
      <c r="AK45" s="79"/>
      <c r="AL45" s="79"/>
      <c r="AM45" s="79"/>
      <c r="AN45" s="79"/>
      <c r="AO45" s="79"/>
      <c r="AP45" s="79"/>
      <c r="AQ45" s="79"/>
      <c r="AR45" s="79"/>
      <c r="AS45" s="79"/>
      <c r="AT45" s="79"/>
      <c r="AU45" s="79"/>
      <c r="AV45" s="79"/>
      <c r="AW45" s="79">
        <f ca="1">OFFSET(AW45,0,-1)+1</f>
        <v>1</v>
      </c>
      <c r="AX45" s="79">
        <f ca="1">OFFSET(AX45,0,-1)+1</f>
        <v>2</v>
      </c>
      <c r="AY45" s="79">
        <f ca="1">OFFSET(AY45,0,-1)+1</f>
        <v>3</v>
      </c>
      <c r="AZ45" s="79"/>
      <c r="BA45" s="79">
        <f ca="1">OFFSET(BA45,0,-2)+1</f>
        <v>4</v>
      </c>
      <c r="BB45" s="78">
        <f ca="1">OFFSET(BB45,0,-1)</f>
        <v>4</v>
      </c>
      <c r="BC45" s="79">
        <f ca="1">OFFSET(BC45,0,-1)+1</f>
        <v>5</v>
      </c>
      <c r="BD45" s="43"/>
      <c r="BE45" s="43"/>
      <c r="BF45" s="43"/>
      <c r="BG45" s="43"/>
      <c r="BH45" s="43"/>
      <c r="BI45" s="36">
        <v>0</v>
      </c>
    </row>
    <row r="46" ht="22.05" customHeight="1" spans="1:61">
      <c r="A46" s="45" t="s">
        <v>281</v>
      </c>
      <c r="B46" s="45"/>
      <c r="C46" s="45"/>
      <c r="D46" s="45"/>
      <c r="E46" s="1038">
        <v>1</v>
      </c>
      <c r="F46" s="45"/>
      <c r="G46" s="45"/>
      <c r="H46" s="45"/>
      <c r="I46" s="45"/>
      <c r="J46" s="45"/>
      <c r="K46" s="45"/>
      <c r="L46" s="1040"/>
      <c r="M46" s="46"/>
      <c r="N46" s="46"/>
      <c r="O46" s="46"/>
      <c r="Q46" s="263"/>
      <c r="R46" s="81"/>
      <c r="S46" s="64">
        <f>INDEX(PT_DIFFERENTIATION_NUM_NTAR,MATCH(A46,PT_DIFFERENTIATION_NTAR_ID,0))</f>
        <v>0</v>
      </c>
      <c r="T46" s="82" t="s">
        <v>125</v>
      </c>
      <c r="U46" s="83"/>
      <c r="V46" s="1047"/>
      <c r="W46" s="1047"/>
      <c r="X46" s="1047"/>
      <c r="Y46" s="1047"/>
      <c r="Z46" s="1047"/>
      <c r="AA46" s="1047"/>
      <c r="AB46" s="1047"/>
      <c r="AC46" s="1075"/>
      <c r="AD46" s="1076" t="str">
        <f>INDEX(PT_DIFFERENTIATION_NTAR,MATCH(A46,PT_DIFFERENTIATION_NTAR_ID,0))</f>
        <v/>
      </c>
      <c r="AE46" s="1047"/>
      <c r="AF46" s="1047"/>
      <c r="AG46" s="1047"/>
      <c r="AH46" s="1047"/>
      <c r="AI46" s="1047"/>
      <c r="AJ46" s="1047"/>
      <c r="AK46" s="1047"/>
      <c r="AL46" s="1047"/>
      <c r="AM46" s="1047"/>
      <c r="AN46" s="1047"/>
      <c r="AO46" s="1047"/>
      <c r="AP46" s="1047"/>
      <c r="AQ46" s="1047"/>
      <c r="AR46" s="1047"/>
      <c r="AS46" s="1047"/>
      <c r="AT46" s="1047"/>
      <c r="AU46" s="1047"/>
      <c r="AV46" s="1047"/>
      <c r="AW46" s="1047"/>
      <c r="AX46" s="1047"/>
      <c r="AY46" s="1047"/>
      <c r="AZ46" s="1047"/>
      <c r="BA46" s="1047"/>
      <c r="BB46" s="1075"/>
      <c r="BC46"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50"/>
      <c r="BF46" s="150" t="str">
        <f t="shared" ref="BF46:BF52" si="3">IF(T46="","",T46)</f>
        <v>Наименование тарифа</v>
      </c>
      <c r="BG46" s="150"/>
      <c r="BH46" s="150"/>
      <c r="BI46" s="42">
        <v>21</v>
      </c>
    </row>
    <row r="47" ht="22.05" customHeight="1" spans="1:61">
      <c r="A47" s="45" t="s">
        <v>281</v>
      </c>
      <c r="B47" s="45" t="s">
        <v>282</v>
      </c>
      <c r="C47" s="45"/>
      <c r="D47" s="45"/>
      <c r="E47" s="1039"/>
      <c r="F47" s="1038">
        <v>1</v>
      </c>
      <c r="G47" s="45"/>
      <c r="H47" s="45"/>
      <c r="I47" s="45"/>
      <c r="J47" s="45"/>
      <c r="K47" s="45"/>
      <c r="L47" s="1040"/>
      <c r="M47" s="46"/>
      <c r="N47" s="46"/>
      <c r="O47" s="46"/>
      <c r="P47" s="47"/>
      <c r="Q47" s="1048"/>
      <c r="R47" s="87"/>
      <c r="S47" s="64" t="str">
        <f>INDEX(PT_DIFFERENTIATION_NUM_TER,MATCH(B47,PT_DIFFERENTIATION_TER_ID,0))</f>
        <v>.</v>
      </c>
      <c r="T47" s="88" t="s">
        <v>402</v>
      </c>
      <c r="U47" s="83"/>
      <c r="V47" s="1047"/>
      <c r="W47" s="1047"/>
      <c r="X47" s="1047"/>
      <c r="Y47" s="1047"/>
      <c r="Z47" s="1047"/>
      <c r="AA47" s="1047"/>
      <c r="AB47" s="1047"/>
      <c r="AC47" s="1075"/>
      <c r="AD47" s="1076" t="str">
        <f>INDEX(PT_DIFFERENTIATION_TER,MATCH(B47,PT_DIFFERENTIATION_TER_ID,0))</f>
        <v/>
      </c>
      <c r="AE47" s="1047"/>
      <c r="AF47" s="1047"/>
      <c r="AG47" s="1047"/>
      <c r="AH47" s="1047"/>
      <c r="AI47" s="1047"/>
      <c r="AJ47" s="1047"/>
      <c r="AK47" s="1047"/>
      <c r="AL47" s="1047"/>
      <c r="AM47" s="1047"/>
      <c r="AN47" s="1047"/>
      <c r="AO47" s="1047"/>
      <c r="AP47" s="1047"/>
      <c r="AQ47" s="1047"/>
      <c r="AR47" s="1047"/>
      <c r="AS47" s="1047"/>
      <c r="AT47" s="1047"/>
      <c r="AU47" s="1047"/>
      <c r="AV47" s="1047"/>
      <c r="AW47" s="1047"/>
      <c r="AX47" s="1047"/>
      <c r="AY47" s="1047"/>
      <c r="AZ47" s="1047"/>
      <c r="BA47" s="1047"/>
      <c r="BB47" s="1075"/>
      <c r="BC47" s="135" t="s">
        <v>403</v>
      </c>
      <c r="BE47" s="150"/>
      <c r="BF47" s="150" t="str">
        <f t="shared" si="3"/>
        <v>Территория действия тарифа</v>
      </c>
      <c r="BG47" s="150"/>
      <c r="BH47" s="150"/>
      <c r="BI47" s="42">
        <v>21</v>
      </c>
    </row>
    <row r="48" ht="35.7" customHeight="1" spans="1:61">
      <c r="A48" s="45" t="s">
        <v>281</v>
      </c>
      <c r="B48" s="45" t="s">
        <v>282</v>
      </c>
      <c r="C48" s="45" t="s">
        <v>283</v>
      </c>
      <c r="D48" s="45"/>
      <c r="E48" s="1039"/>
      <c r="F48" s="1039"/>
      <c r="G48" s="1038">
        <v>1</v>
      </c>
      <c r="H48" s="45"/>
      <c r="I48" s="45"/>
      <c r="J48" s="45"/>
      <c r="K48" s="45"/>
      <c r="L48" s="1040"/>
      <c r="M48" s="46"/>
      <c r="N48" s="46"/>
      <c r="O48" s="46"/>
      <c r="P48" s="1041"/>
      <c r="Q48" s="1048"/>
      <c r="R48" s="87"/>
      <c r="S48" s="64" t="str">
        <f>INDEX(PT_DIFFERENTIATION_NUM_CS,MATCH(C48,PT_DIFFERENTIATION_CS_ID,0))</f>
        <v>..</v>
      </c>
      <c r="T48" s="90" t="s">
        <v>526</v>
      </c>
      <c r="U48" s="83"/>
      <c r="V48" s="1047"/>
      <c r="W48" s="1047"/>
      <c r="X48" s="1047"/>
      <c r="Y48" s="1047"/>
      <c r="Z48" s="1047"/>
      <c r="AA48" s="1047"/>
      <c r="AB48" s="1047"/>
      <c r="AC48" s="1075"/>
      <c r="AD48" s="1076" t="str">
        <f>INDEX(PT_DIFFERENTIATION_CS,MATCH(C48,PT_DIFFERENTIATION_CS_ID,0))</f>
        <v/>
      </c>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75"/>
      <c r="BC48" s="135" t="s">
        <v>527</v>
      </c>
      <c r="BE48" s="150"/>
      <c r="BF48" s="150" t="str">
        <f t="shared" si="3"/>
        <v>Наименование централизованной системы водоотведения</v>
      </c>
      <c r="BG48" s="150"/>
      <c r="BH48" s="150"/>
      <c r="BI48" s="42">
        <v>34</v>
      </c>
    </row>
    <row r="49" s="43" customFormat="1" hidden="1" customHeight="1" spans="1:61">
      <c r="A49" s="587" t="s">
        <v>281</v>
      </c>
      <c r="B49" s="587" t="s">
        <v>282</v>
      </c>
      <c r="C49" s="587" t="s">
        <v>283</v>
      </c>
      <c r="D49" s="587" t="s">
        <v>539</v>
      </c>
      <c r="E49" s="1039"/>
      <c r="F49" s="1039"/>
      <c r="G49" s="1039"/>
      <c r="H49" s="1038">
        <v>1</v>
      </c>
      <c r="I49" s="587"/>
      <c r="J49" s="587"/>
      <c r="K49" s="587"/>
      <c r="L49" s="608"/>
      <c r="M49" s="282"/>
      <c r="N49" s="282"/>
      <c r="O49" s="282"/>
      <c r="P49" s="1042"/>
      <c r="Q49" s="1049"/>
      <c r="R49" s="96"/>
      <c r="S49" s="329"/>
      <c r="T49" s="1050"/>
      <c r="U49" s="1051"/>
      <c r="V49" s="1052"/>
      <c r="W49" s="1052"/>
      <c r="X49" s="1052"/>
      <c r="Y49" s="1052"/>
      <c r="Z49" s="1052"/>
      <c r="AA49" s="1052"/>
      <c r="AB49" s="1052"/>
      <c r="AC49" s="1077"/>
      <c r="AD49" s="1078"/>
      <c r="AE49" s="1052"/>
      <c r="AF49" s="1052"/>
      <c r="AG49" s="1052"/>
      <c r="AH49" s="1052"/>
      <c r="AI49" s="1052"/>
      <c r="AJ49" s="1052"/>
      <c r="AK49" s="1052"/>
      <c r="AL49" s="1052"/>
      <c r="AM49" s="1052"/>
      <c r="AN49" s="1052"/>
      <c r="AO49" s="1052"/>
      <c r="AP49" s="1052"/>
      <c r="AQ49" s="1052"/>
      <c r="AR49" s="1052"/>
      <c r="AS49" s="1052"/>
      <c r="AT49" s="1052"/>
      <c r="AU49" s="1052"/>
      <c r="AV49" s="1052"/>
      <c r="AW49" s="1052"/>
      <c r="AX49" s="1052"/>
      <c r="AY49" s="1052"/>
      <c r="AZ49" s="1052"/>
      <c r="BA49" s="1052"/>
      <c r="BB49" s="1077"/>
      <c r="BC49" s="981" t="s">
        <v>407</v>
      </c>
      <c r="BE49" s="150"/>
      <c r="BF49" s="150" t="str">
        <f t="shared" si="3"/>
        <v/>
      </c>
      <c r="BG49" s="150"/>
      <c r="BH49" s="150"/>
      <c r="BI49" s="43">
        <v>0</v>
      </c>
    </row>
    <row r="50" s="43" customFormat="1" hidden="1" customHeight="1" spans="1:61">
      <c r="A50" s="587" t="s">
        <v>281</v>
      </c>
      <c r="B50" s="587" t="s">
        <v>282</v>
      </c>
      <c r="C50" s="587" t="s">
        <v>283</v>
      </c>
      <c r="D50" s="587" t="s">
        <v>539</v>
      </c>
      <c r="E50" s="1039"/>
      <c r="F50" s="1039"/>
      <c r="G50" s="1039"/>
      <c r="H50" s="1039"/>
      <c r="I50" s="228" t="str">
        <f>S49&amp;".1"</f>
        <v>.1</v>
      </c>
      <c r="J50" s="587"/>
      <c r="K50" s="587"/>
      <c r="L50" s="608" t="s">
        <v>408</v>
      </c>
      <c r="M50" s="1043"/>
      <c r="N50" s="1043"/>
      <c r="O50" s="1043"/>
      <c r="P50" s="92">
        <v>1</v>
      </c>
      <c r="Q50" s="92"/>
      <c r="R50" s="93"/>
      <c r="S50" s="329"/>
      <c r="T50" s="1053"/>
      <c r="U50" s="1051"/>
      <c r="V50" s="1052"/>
      <c r="W50" s="1052"/>
      <c r="X50" s="1052"/>
      <c r="Y50" s="1052"/>
      <c r="Z50" s="1052"/>
      <c r="AA50" s="1052"/>
      <c r="AB50" s="1052"/>
      <c r="AC50" s="1077"/>
      <c r="AD50" s="1078"/>
      <c r="AE50" s="1052"/>
      <c r="AF50" s="1052"/>
      <c r="AG50" s="1052"/>
      <c r="AH50" s="1052"/>
      <c r="AI50" s="1052"/>
      <c r="AJ50" s="1052"/>
      <c r="AK50" s="1052"/>
      <c r="AL50" s="1052"/>
      <c r="AM50" s="1052"/>
      <c r="AN50" s="1052"/>
      <c r="AO50" s="1052"/>
      <c r="AP50" s="1052"/>
      <c r="AQ50" s="1052"/>
      <c r="AR50" s="1052"/>
      <c r="AS50" s="1052"/>
      <c r="AT50" s="1052"/>
      <c r="AU50" s="1052"/>
      <c r="AV50" s="1052"/>
      <c r="AW50" s="1052"/>
      <c r="AX50" s="1052"/>
      <c r="AY50" s="1052"/>
      <c r="AZ50" s="1052"/>
      <c r="BA50" s="1052"/>
      <c r="BB50" s="1077"/>
      <c r="BC50" s="981"/>
      <c r="BE50" s="150"/>
      <c r="BF50" s="150" t="str">
        <f t="shared" si="3"/>
        <v/>
      </c>
      <c r="BG50" s="150"/>
      <c r="BH50" s="150"/>
      <c r="BI50" s="43">
        <v>0</v>
      </c>
    </row>
    <row r="51" s="43" customFormat="1" hidden="1" customHeight="1" spans="1:61">
      <c r="A51" s="587" t="s">
        <v>281</v>
      </c>
      <c r="B51" s="587" t="s">
        <v>282</v>
      </c>
      <c r="C51" s="587" t="s">
        <v>283</v>
      </c>
      <c r="D51" s="587" t="s">
        <v>539</v>
      </c>
      <c r="E51" s="1039"/>
      <c r="F51" s="1039"/>
      <c r="G51" s="1039"/>
      <c r="H51" s="1039"/>
      <c r="I51" s="1044"/>
      <c r="J51" s="228" t="str">
        <f>S49&amp;".1"</f>
        <v>.1</v>
      </c>
      <c r="K51" s="587"/>
      <c r="L51" s="608"/>
      <c r="M51" s="1043"/>
      <c r="N51" s="1043"/>
      <c r="O51" s="1043"/>
      <c r="P51" s="92"/>
      <c r="Q51" s="92">
        <v>1</v>
      </c>
      <c r="R51" s="96"/>
      <c r="S51" s="329"/>
      <c r="T51" s="1054"/>
      <c r="U51" s="1051"/>
      <c r="V51" s="1052"/>
      <c r="W51" s="1052"/>
      <c r="X51" s="1052"/>
      <c r="Y51" s="1052"/>
      <c r="Z51" s="1052"/>
      <c r="AA51" s="1052"/>
      <c r="AB51" s="1052"/>
      <c r="AC51" s="1077"/>
      <c r="AD51" s="1078"/>
      <c r="AE51" s="1052"/>
      <c r="AF51" s="1052"/>
      <c r="AG51" s="1052"/>
      <c r="AH51" s="1052"/>
      <c r="AI51" s="1052"/>
      <c r="AJ51" s="1052"/>
      <c r="AK51" s="1052"/>
      <c r="AL51" s="1052"/>
      <c r="AM51" s="1052"/>
      <c r="AN51" s="1100"/>
      <c r="AO51" s="1100"/>
      <c r="AP51" s="1052"/>
      <c r="AQ51" s="1052"/>
      <c r="AR51" s="1052"/>
      <c r="AS51" s="1052"/>
      <c r="AT51" s="1052"/>
      <c r="AU51" s="1052"/>
      <c r="AV51" s="1052"/>
      <c r="AW51" s="1052"/>
      <c r="AX51" s="1052"/>
      <c r="AY51" s="1052"/>
      <c r="AZ51" s="1052"/>
      <c r="BA51" s="1052"/>
      <c r="BB51" s="1077"/>
      <c r="BC51" s="981"/>
      <c r="BE51" s="150"/>
      <c r="BF51" s="150" t="str">
        <f t="shared" si="3"/>
        <v/>
      </c>
      <c r="BG51" s="150"/>
      <c r="BH51" s="150"/>
      <c r="BI51" s="43">
        <v>0</v>
      </c>
    </row>
    <row r="52" ht="11.55" customHeight="1" spans="1:61">
      <c r="A52" s="45" t="s">
        <v>281</v>
      </c>
      <c r="B52" s="45" t="s">
        <v>282</v>
      </c>
      <c r="C52" s="45" t="s">
        <v>283</v>
      </c>
      <c r="D52" s="45" t="s">
        <v>539</v>
      </c>
      <c r="E52" s="1039"/>
      <c r="F52" s="1039"/>
      <c r="G52" s="1039"/>
      <c r="H52" s="1039"/>
      <c r="I52" s="1044"/>
      <c r="J52" s="1044"/>
      <c r="K52" s="228" t="str">
        <f>S48&amp;".1"</f>
        <v>...1</v>
      </c>
      <c r="L52" s="1040"/>
      <c r="P52" s="92"/>
      <c r="Q52" s="92"/>
      <c r="R52" s="96">
        <v>1</v>
      </c>
      <c r="S52" s="1056" t="str">
        <f>$K52</f>
        <v>...1</v>
      </c>
      <c r="T52" s="1057"/>
      <c r="U52" s="83"/>
      <c r="V52" s="101"/>
      <c r="W52" s="137"/>
      <c r="X52" s="101"/>
      <c r="Y52" s="137"/>
      <c r="Z52" s="138"/>
      <c r="AA52" s="139" t="s">
        <v>62</v>
      </c>
      <c r="AB52" s="138"/>
      <c r="AC52" s="139" t="s">
        <v>62</v>
      </c>
      <c r="AD52" s="472" t="s">
        <v>62</v>
      </c>
      <c r="AE52" s="1079"/>
      <c r="AF52" s="661">
        <v>1</v>
      </c>
      <c r="AG52" s="1092"/>
      <c r="AH52" s="139" t="s">
        <v>62</v>
      </c>
      <c r="AI52" s="1079"/>
      <c r="AJ52" s="661">
        <v>1</v>
      </c>
      <c r="AK52" s="1093" t="s">
        <v>28</v>
      </c>
      <c r="AL52" s="139" t="s">
        <v>62</v>
      </c>
      <c r="AM52" s="892"/>
      <c r="AN52" s="661">
        <v>1</v>
      </c>
      <c r="AO52" s="1101"/>
      <c r="AP52" s="1102" t="s">
        <v>62</v>
      </c>
      <c r="AQ52" s="1103"/>
      <c r="AR52" s="661">
        <v>1</v>
      </c>
      <c r="AS52" s="446" t="s">
        <v>28</v>
      </c>
      <c r="AT52" s="101"/>
      <c r="AU52" s="137"/>
      <c r="AV52" s="101"/>
      <c r="AW52" s="137"/>
      <c r="AX52" s="138"/>
      <c r="AY52" s="139" t="s">
        <v>62</v>
      </c>
      <c r="AZ52" s="138"/>
      <c r="BA52" s="139" t="s">
        <v>62</v>
      </c>
      <c r="BB52" s="1106"/>
      <c r="BC52" s="140" t="s">
        <v>503</v>
      </c>
      <c r="BE52" s="150"/>
      <c r="BF52" s="150" t="str">
        <f t="shared" si="3"/>
        <v/>
      </c>
      <c r="BG52" s="150"/>
      <c r="BH52" s="150"/>
      <c r="BI52" s="42">
        <v>11</v>
      </c>
    </row>
    <row r="53" ht="11.55" customHeight="1" spans="1:61">
      <c r="A53" s="45"/>
      <c r="B53" s="45"/>
      <c r="C53" s="45"/>
      <c r="D53" s="45"/>
      <c r="E53" s="1039"/>
      <c r="F53" s="1039"/>
      <c r="G53" s="1039"/>
      <c r="H53" s="1039"/>
      <c r="I53" s="1044"/>
      <c r="J53" s="1044"/>
      <c r="K53" s="228"/>
      <c r="L53" s="1040"/>
      <c r="P53" s="92"/>
      <c r="Q53" s="92"/>
      <c r="R53" s="96"/>
      <c r="S53" s="1058"/>
      <c r="T53" s="1059"/>
      <c r="U53" s="83"/>
      <c r="V53" s="1060"/>
      <c r="W53" s="1061"/>
      <c r="X53" s="1060"/>
      <c r="Y53" s="1061"/>
      <c r="Z53" s="1060"/>
      <c r="AA53" s="1060"/>
      <c r="AB53" s="1060"/>
      <c r="AC53" s="1060"/>
      <c r="AD53" s="474"/>
      <c r="AE53" s="1079"/>
      <c r="AF53" s="661"/>
      <c r="AG53" s="1092"/>
      <c r="AH53" s="139"/>
      <c r="AI53" s="1079"/>
      <c r="AJ53" s="661"/>
      <c r="AK53" s="1093"/>
      <c r="AL53" s="139"/>
      <c r="AM53" s="896"/>
      <c r="AN53" s="661"/>
      <c r="AO53" s="1101"/>
      <c r="AP53" s="1104"/>
      <c r="AQ53" s="330"/>
      <c r="AR53" s="331"/>
      <c r="AS53" s="331" t="s">
        <v>504</v>
      </c>
      <c r="AT53" s="1060"/>
      <c r="AU53" s="1061"/>
      <c r="AV53" s="1060"/>
      <c r="AW53" s="1061"/>
      <c r="AX53" s="1060"/>
      <c r="AY53" s="1060"/>
      <c r="AZ53" s="1060"/>
      <c r="BA53" s="1060"/>
      <c r="BB53" s="1107"/>
      <c r="BC53" s="143"/>
      <c r="BE53" s="150"/>
      <c r="BF53" s="150"/>
      <c r="BG53" s="150"/>
      <c r="BH53" s="150"/>
      <c r="BI53" s="42">
        <v>11</v>
      </c>
    </row>
    <row r="54" ht="11.55" customHeight="1" spans="1:61">
      <c r="A54" s="45" t="s">
        <v>281</v>
      </c>
      <c r="B54" s="45"/>
      <c r="C54" s="45"/>
      <c r="D54" s="45"/>
      <c r="E54" s="1039"/>
      <c r="F54" s="1039"/>
      <c r="G54" s="1039"/>
      <c r="H54" s="1039"/>
      <c r="I54" s="1044"/>
      <c r="J54" s="1044"/>
      <c r="K54" s="228"/>
      <c r="L54" s="1040"/>
      <c r="P54" s="92"/>
      <c r="Q54" s="92"/>
      <c r="R54" s="96"/>
      <c r="S54" s="1058"/>
      <c r="T54" s="1059"/>
      <c r="U54" s="83"/>
      <c r="V54" s="1060"/>
      <c r="W54" s="1061"/>
      <c r="X54" s="1060"/>
      <c r="Y54" s="1061"/>
      <c r="Z54" s="1060"/>
      <c r="AA54" s="1060"/>
      <c r="AB54" s="1060"/>
      <c r="AC54" s="1060"/>
      <c r="AD54" s="474"/>
      <c r="AE54" s="1079"/>
      <c r="AF54" s="661"/>
      <c r="AG54" s="1092"/>
      <c r="AH54" s="139"/>
      <c r="AI54" s="1079"/>
      <c r="AJ54" s="661"/>
      <c r="AK54" s="1093"/>
      <c r="AL54" s="139"/>
      <c r="AM54" s="330"/>
      <c r="AN54" s="598"/>
      <c r="AO54" s="598" t="s">
        <v>532</v>
      </c>
      <c r="AP54" s="331"/>
      <c r="AQ54" s="331"/>
      <c r="AR54" s="331"/>
      <c r="AS54" s="1060"/>
      <c r="AT54" s="1060"/>
      <c r="AU54" s="1061"/>
      <c r="AV54" s="1060"/>
      <c r="AW54" s="1061"/>
      <c r="AX54" s="1060"/>
      <c r="AY54" s="1060"/>
      <c r="AZ54" s="1060"/>
      <c r="BA54" s="1060"/>
      <c r="BB54" s="1107"/>
      <c r="BC54" s="143"/>
      <c r="BE54" s="150"/>
      <c r="BF54" s="150"/>
      <c r="BG54" s="150"/>
      <c r="BH54" s="150"/>
      <c r="BI54" s="42">
        <v>11</v>
      </c>
    </row>
    <row r="55" ht="11.55" customHeight="1" spans="1:61">
      <c r="A55" s="45" t="s">
        <v>281</v>
      </c>
      <c r="B55" s="45"/>
      <c r="C55" s="45"/>
      <c r="D55" s="45"/>
      <c r="E55" s="1039"/>
      <c r="F55" s="1039"/>
      <c r="G55" s="1039"/>
      <c r="H55" s="1039"/>
      <c r="I55" s="1044"/>
      <c r="J55" s="1044"/>
      <c r="K55" s="228"/>
      <c r="L55" s="1040"/>
      <c r="P55" s="92"/>
      <c r="Q55" s="92"/>
      <c r="R55" s="96"/>
      <c r="S55" s="1058"/>
      <c r="T55" s="1059"/>
      <c r="U55" s="83"/>
      <c r="V55" s="1060"/>
      <c r="W55" s="1061"/>
      <c r="X55" s="1060"/>
      <c r="Y55" s="1061"/>
      <c r="Z55" s="1060"/>
      <c r="AA55" s="1060"/>
      <c r="AB55" s="1060"/>
      <c r="AC55" s="1060"/>
      <c r="AD55" s="474"/>
      <c r="AE55" s="1079"/>
      <c r="AF55" s="661"/>
      <c r="AG55" s="1092"/>
      <c r="AH55" s="139"/>
      <c r="AI55" s="900"/>
      <c r="AJ55" s="226"/>
      <c r="AK55" s="1094" t="s">
        <v>533</v>
      </c>
      <c r="AL55" s="1060"/>
      <c r="AM55" s="1060"/>
      <c r="AN55" s="1060"/>
      <c r="AO55" s="1060"/>
      <c r="AP55" s="1060"/>
      <c r="AQ55" s="1060"/>
      <c r="AR55" s="1060"/>
      <c r="AS55" s="1060"/>
      <c r="AT55" s="1060"/>
      <c r="AU55" s="1061"/>
      <c r="AV55" s="1060"/>
      <c r="AW55" s="1061"/>
      <c r="AX55" s="1060"/>
      <c r="AY55" s="1060"/>
      <c r="AZ55" s="1060"/>
      <c r="BA55" s="1060"/>
      <c r="BB55" s="1107"/>
      <c r="BC55" s="143"/>
      <c r="BE55" s="150"/>
      <c r="BF55" s="150"/>
      <c r="BG55" s="150"/>
      <c r="BH55" s="150"/>
      <c r="BI55" s="42">
        <v>11</v>
      </c>
    </row>
    <row r="56" ht="11.55" customHeight="1" spans="1:61">
      <c r="A56" s="45" t="s">
        <v>281</v>
      </c>
      <c r="B56" s="45" t="s">
        <v>282</v>
      </c>
      <c r="C56" s="45" t="s">
        <v>283</v>
      </c>
      <c r="D56" s="45" t="s">
        <v>539</v>
      </c>
      <c r="E56" s="1039"/>
      <c r="F56" s="1039"/>
      <c r="G56" s="1039"/>
      <c r="H56" s="1039"/>
      <c r="I56" s="1044"/>
      <c r="J56" s="1044"/>
      <c r="K56" s="228"/>
      <c r="L56" s="1040"/>
      <c r="P56" s="92"/>
      <c r="Q56" s="92"/>
      <c r="R56" s="96"/>
      <c r="S56" s="1062"/>
      <c r="T56" s="1063"/>
      <c r="U56" s="83"/>
      <c r="V56" s="1060"/>
      <c r="W56" s="1064" t="str">
        <f>Z52&amp;"-"&amp;AB52</f>
        <v>-</v>
      </c>
      <c r="X56" s="1060"/>
      <c r="Y56" s="1064" t="str">
        <f>AB52&amp;"-"&amp;AD52</f>
        <v>-да</v>
      </c>
      <c r="Z56" s="1060"/>
      <c r="AA56" s="1060"/>
      <c r="AB56" s="1060"/>
      <c r="AC56" s="1060"/>
      <c r="AD56" s="477"/>
      <c r="AE56" s="1080"/>
      <c r="AF56" s="1081"/>
      <c r="AG56" s="331" t="s">
        <v>507</v>
      </c>
      <c r="AH56" s="1060"/>
      <c r="AI56" s="1060"/>
      <c r="AJ56" s="1060"/>
      <c r="AK56" s="1060"/>
      <c r="AL56" s="1060"/>
      <c r="AM56" s="1060"/>
      <c r="AN56" s="1060"/>
      <c r="AO56" s="1060"/>
      <c r="AP56" s="1060"/>
      <c r="AQ56" s="1060"/>
      <c r="AR56" s="1060"/>
      <c r="AS56" s="1060"/>
      <c r="AT56" s="1060"/>
      <c r="AU56" s="1064" t="str">
        <f>AX52&amp;"-"&amp;AZ52</f>
        <v>-</v>
      </c>
      <c r="AV56" s="1060"/>
      <c r="AW56" s="1064" t="str">
        <f>AZ52&amp;"-"&amp;BB52</f>
        <v>-</v>
      </c>
      <c r="AX56" s="1060"/>
      <c r="AY56" s="1060"/>
      <c r="AZ56" s="1060"/>
      <c r="BA56" s="1060"/>
      <c r="BB56" s="1108" t="str">
        <f>BE52&amp;"-"&amp;BG52</f>
        <v>-</v>
      </c>
      <c r="BC56" s="143"/>
      <c r="BE56" s="150"/>
      <c r="BF56" s="150" t="str">
        <f t="shared" ref="BF56:BF63" si="4">IF(T56="","",T56)</f>
        <v/>
      </c>
      <c r="BG56" s="150"/>
      <c r="BH56" s="150"/>
      <c r="BI56" s="42">
        <v>11</v>
      </c>
    </row>
    <row r="57" ht="11.55" customHeight="1" spans="1:61">
      <c r="A57" s="45" t="s">
        <v>281</v>
      </c>
      <c r="B57" s="45" t="s">
        <v>282</v>
      </c>
      <c r="C57" s="45" t="s">
        <v>283</v>
      </c>
      <c r="D57" s="45" t="s">
        <v>539</v>
      </c>
      <c r="E57" s="1039"/>
      <c r="F57" s="1039"/>
      <c r="G57" s="1039"/>
      <c r="H57" s="1039"/>
      <c r="I57" s="1044"/>
      <c r="J57" s="228"/>
      <c r="K57" s="45"/>
      <c r="L57" s="1040"/>
      <c r="P57" s="92"/>
      <c r="Q57" s="92"/>
      <c r="R57" s="93"/>
      <c r="S57" s="104"/>
      <c r="T57" s="107" t="s">
        <v>470</v>
      </c>
      <c r="U57" s="106"/>
      <c r="V57" s="106"/>
      <c r="W57" s="106"/>
      <c r="X57" s="106"/>
      <c r="Y57" s="106"/>
      <c r="Z57" s="106"/>
      <c r="AA57" s="106"/>
      <c r="AB57" s="106"/>
      <c r="AC57" s="144"/>
      <c r="AD57" s="1082"/>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44"/>
      <c r="BC57" s="145"/>
      <c r="BE57" s="150"/>
      <c r="BF57" s="150" t="str">
        <f t="shared" si="4"/>
        <v>Добавить строку</v>
      </c>
      <c r="BG57" s="150"/>
      <c r="BH57" s="150"/>
      <c r="BI57" s="42">
        <v>11</v>
      </c>
    </row>
    <row r="58" s="43" customFormat="1" hidden="1" customHeight="1" spans="1:61">
      <c r="A58" s="587" t="s">
        <v>281</v>
      </c>
      <c r="B58" s="587" t="s">
        <v>282</v>
      </c>
      <c r="C58" s="587" t="s">
        <v>283</v>
      </c>
      <c r="D58" s="587" t="s">
        <v>539</v>
      </c>
      <c r="E58" s="1039"/>
      <c r="F58" s="1039"/>
      <c r="G58" s="1039"/>
      <c r="H58" s="1039"/>
      <c r="I58" s="228"/>
      <c r="J58" s="587"/>
      <c r="K58" s="587"/>
      <c r="L58" s="608"/>
      <c r="M58" s="1043"/>
      <c r="N58" s="1043"/>
      <c r="O58" s="1043"/>
      <c r="P58" s="92"/>
      <c r="Q58" s="92"/>
      <c r="R58" s="93"/>
      <c r="S58" s="1065"/>
      <c r="T58" s="1066"/>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109"/>
      <c r="BE58" s="150"/>
      <c r="BF58" s="150" t="str">
        <f t="shared" si="4"/>
        <v/>
      </c>
      <c r="BG58" s="150"/>
      <c r="BH58" s="150"/>
      <c r="BI58" s="43">
        <v>0</v>
      </c>
    </row>
    <row r="59" s="43" customFormat="1" hidden="1" customHeight="1" spans="1:61">
      <c r="A59" s="587" t="s">
        <v>281</v>
      </c>
      <c r="B59" s="587" t="s">
        <v>282</v>
      </c>
      <c r="C59" s="587" t="s">
        <v>283</v>
      </c>
      <c r="D59" s="587" t="s">
        <v>539</v>
      </c>
      <c r="E59" s="1039"/>
      <c r="F59" s="1039"/>
      <c r="G59" s="1039"/>
      <c r="H59" s="1038"/>
      <c r="I59" s="587"/>
      <c r="J59" s="587"/>
      <c r="K59" s="587"/>
      <c r="L59" s="608"/>
      <c r="M59" s="282"/>
      <c r="N59" s="282"/>
      <c r="P59" s="151"/>
      <c r="Q59" s="1068"/>
      <c r="R59" s="1069"/>
      <c r="S59" s="1065"/>
      <c r="T59" s="1066"/>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109"/>
      <c r="BE59" s="150"/>
      <c r="BF59" s="150" t="str">
        <f t="shared" si="4"/>
        <v/>
      </c>
      <c r="BG59" s="150"/>
      <c r="BH59" s="150"/>
      <c r="BI59" s="43">
        <v>0</v>
      </c>
    </row>
    <row r="60" s="43" customFormat="1" hidden="1" customHeight="1" spans="1:61">
      <c r="A60" s="587" t="s">
        <v>281</v>
      </c>
      <c r="B60" s="587" t="s">
        <v>282</v>
      </c>
      <c r="C60" s="587" t="s">
        <v>283</v>
      </c>
      <c r="D60" s="587"/>
      <c r="E60" s="1039"/>
      <c r="F60" s="1039"/>
      <c r="G60" s="1038"/>
      <c r="H60" s="587"/>
      <c r="I60" s="587"/>
      <c r="J60" s="587"/>
      <c r="K60" s="587"/>
      <c r="L60" s="608"/>
      <c r="M60" s="282"/>
      <c r="N60" s="282"/>
      <c r="P60" s="151"/>
      <c r="Q60" s="1068"/>
      <c r="R60" s="151"/>
      <c r="S60" s="1070"/>
      <c r="T60" s="1071"/>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E60" s="150"/>
      <c r="BF60" s="150" t="str">
        <f t="shared" si="4"/>
        <v/>
      </c>
      <c r="BG60" s="150"/>
      <c r="BH60" s="150"/>
      <c r="BI60" s="43">
        <v>0</v>
      </c>
    </row>
    <row r="61" s="43" customFormat="1" hidden="1" customHeight="1" spans="1:61">
      <c r="A61" s="587" t="s">
        <v>281</v>
      </c>
      <c r="B61" s="587" t="s">
        <v>282</v>
      </c>
      <c r="C61" s="587"/>
      <c r="D61" s="587"/>
      <c r="E61" s="1039"/>
      <c r="F61" s="1038"/>
      <c r="G61" s="587"/>
      <c r="H61" s="587"/>
      <c r="I61" s="587"/>
      <c r="J61" s="587"/>
      <c r="K61" s="587"/>
      <c r="L61" s="608"/>
      <c r="M61" s="1045"/>
      <c r="N61" s="1045"/>
      <c r="P61" s="151"/>
      <c r="Q61" s="1068"/>
      <c r="R61" s="151"/>
      <c r="S61" s="1070"/>
      <c r="T61" s="1071" t="s">
        <v>251</v>
      </c>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V61" s="306"/>
      <c r="AW61" s="306"/>
      <c r="AX61" s="306"/>
      <c r="AY61" s="306"/>
      <c r="AZ61" s="306"/>
      <c r="BA61" s="306"/>
      <c r="BB61" s="306"/>
      <c r="BC61" s="306"/>
      <c r="BE61" s="150"/>
      <c r="BF61" s="150" t="str">
        <f t="shared" si="4"/>
        <v>Добавить централизованную систему для дифференциации</v>
      </c>
      <c r="BG61" s="150"/>
      <c r="BH61" s="150"/>
      <c r="BI61" s="43">
        <v>0</v>
      </c>
    </row>
    <row r="62" s="43" customFormat="1" hidden="1" customHeight="1" spans="1:61">
      <c r="A62" s="587" t="s">
        <v>281</v>
      </c>
      <c r="B62" s="587"/>
      <c r="C62" s="587"/>
      <c r="D62" s="587"/>
      <c r="E62" s="1038"/>
      <c r="F62" s="587"/>
      <c r="G62" s="587"/>
      <c r="H62" s="587"/>
      <c r="I62" s="587"/>
      <c r="J62" s="587"/>
      <c r="K62" s="587"/>
      <c r="L62" s="608"/>
      <c r="M62" s="1045"/>
      <c r="N62" s="1045"/>
      <c r="P62" s="151"/>
      <c r="Q62" s="1068"/>
      <c r="R62" s="151"/>
      <c r="S62" s="1070"/>
      <c r="T62" s="1071" t="s">
        <v>252</v>
      </c>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E62" s="150"/>
      <c r="BF62" s="150" t="str">
        <f t="shared" si="4"/>
        <v>Добавить территорию для дифференциации</v>
      </c>
      <c r="BG62" s="150"/>
      <c r="BH62" s="150"/>
      <c r="BI62" s="43">
        <v>0</v>
      </c>
    </row>
    <row r="63" s="43" customFormat="1" hidden="1" customHeight="1" spans="1:61">
      <c r="A63" s="587"/>
      <c r="B63" s="587"/>
      <c r="C63" s="587"/>
      <c r="D63" s="587"/>
      <c r="E63" s="587"/>
      <c r="F63" s="587"/>
      <c r="G63" s="587"/>
      <c r="H63" s="587"/>
      <c r="I63" s="587"/>
      <c r="J63" s="587"/>
      <c r="K63" s="587"/>
      <c r="L63" s="608"/>
      <c r="M63" s="1045"/>
      <c r="N63" s="1045"/>
      <c r="P63" s="151"/>
      <c r="Q63" s="1068"/>
      <c r="R63" s="151"/>
      <c r="S63" s="1070"/>
      <c r="T63" s="1071" t="s">
        <v>253</v>
      </c>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E63" s="150"/>
      <c r="BF63" s="150" t="str">
        <f t="shared" si="4"/>
        <v>Добавить наименование тарифа</v>
      </c>
      <c r="BG63" s="150"/>
      <c r="BH63" s="150"/>
      <c r="BI63" s="43">
        <v>0</v>
      </c>
    </row>
    <row r="64" ht="11.55" customHeight="1" spans="13:61">
      <c r="M64" s="37"/>
      <c r="N64" s="37"/>
      <c r="O64" s="37"/>
      <c r="P64" s="37"/>
      <c r="Q64" s="37"/>
      <c r="R64" s="42"/>
      <c r="S64" s="42"/>
      <c r="BD64" s="42"/>
      <c r="BE64" s="42"/>
      <c r="BF64" s="42"/>
      <c r="BG64" s="42"/>
      <c r="BH64" s="42"/>
      <c r="BI64" s="42">
        <v>11</v>
      </c>
    </row>
    <row r="65" ht="14.7" customHeight="1" spans="15:61">
      <c r="O65" s="37"/>
      <c r="S65" s="781"/>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c r="BA65" s="119"/>
      <c r="BB65" s="119"/>
      <c r="BC65" s="119"/>
      <c r="BI65" s="42">
        <v>14</v>
      </c>
    </row>
    <row r="66" ht="14.7" customHeight="1" spans="15:61">
      <c r="O66" s="37"/>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I66" s="42">
        <v>14</v>
      </c>
    </row>
    <row r="67" ht="14.7" customHeight="1" spans="15:61">
      <c r="O67" s="37"/>
      <c r="S67" s="781"/>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I67" s="42">
        <v>14</v>
      </c>
    </row>
    <row r="68" ht="14.7" customHeight="1" spans="15:61">
      <c r="O68" s="37"/>
      <c r="BI68" s="42">
        <v>14</v>
      </c>
    </row>
    <row r="69" hidden="1" customHeight="1" spans="1:61">
      <c r="A69" s="37" t="s">
        <v>83</v>
      </c>
      <c r="B69" s="37">
        <v>0</v>
      </c>
      <c r="C69" s="37">
        <v>0</v>
      </c>
      <c r="D69" s="37">
        <v>0</v>
      </c>
      <c r="E69" s="37">
        <v>0</v>
      </c>
      <c r="F69" s="37">
        <v>0</v>
      </c>
      <c r="G69" s="37">
        <v>0</v>
      </c>
      <c r="H69" s="37">
        <v>0</v>
      </c>
      <c r="I69" s="37">
        <v>0</v>
      </c>
      <c r="J69" s="37">
        <v>0</v>
      </c>
      <c r="K69" s="37">
        <v>0</v>
      </c>
      <c r="L69" s="47">
        <v>0</v>
      </c>
      <c r="M69" s="38">
        <v>0</v>
      </c>
      <c r="N69" s="38">
        <v>0</v>
      </c>
      <c r="O69" s="38">
        <v>0</v>
      </c>
      <c r="P69" s="38">
        <v>0</v>
      </c>
      <c r="Q69" s="1037">
        <v>0</v>
      </c>
      <c r="R69" s="40">
        <v>3</v>
      </c>
      <c r="S69" s="41">
        <v>12</v>
      </c>
      <c r="T69" s="42">
        <v>31</v>
      </c>
      <c r="U69" s="42">
        <v>0</v>
      </c>
      <c r="V69" s="42">
        <v>0</v>
      </c>
      <c r="W69" s="42">
        <v>0</v>
      </c>
      <c r="X69" s="42">
        <v>0</v>
      </c>
      <c r="Y69" s="42">
        <v>0</v>
      </c>
      <c r="Z69" s="42">
        <v>0</v>
      </c>
      <c r="AA69" s="42">
        <v>0</v>
      </c>
      <c r="AB69" s="42">
        <v>0</v>
      </c>
      <c r="AC69" s="42">
        <v>0</v>
      </c>
      <c r="AD69" s="42">
        <v>3</v>
      </c>
      <c r="AE69" s="42">
        <v>3</v>
      </c>
      <c r="AF69" s="42">
        <v>3</v>
      </c>
      <c r="AG69" s="42">
        <v>24</v>
      </c>
      <c r="AH69" s="42">
        <v>3</v>
      </c>
      <c r="AI69" s="42">
        <v>3</v>
      </c>
      <c r="AJ69" s="42">
        <v>3</v>
      </c>
      <c r="AK69" s="42">
        <v>24</v>
      </c>
      <c r="AL69" s="42">
        <v>3</v>
      </c>
      <c r="AM69" s="42">
        <v>3</v>
      </c>
      <c r="AN69" s="42">
        <v>3</v>
      </c>
      <c r="AO69" s="42">
        <v>18</v>
      </c>
      <c r="AP69" s="42">
        <v>3</v>
      </c>
      <c r="AQ69" s="42">
        <v>3</v>
      </c>
      <c r="AR69" s="42">
        <v>3</v>
      </c>
      <c r="AS69" s="42">
        <v>18</v>
      </c>
      <c r="AT69" s="42">
        <v>21</v>
      </c>
      <c r="AU69" s="42">
        <v>21</v>
      </c>
      <c r="AV69" s="42">
        <v>21</v>
      </c>
      <c r="AW69" s="42">
        <v>21</v>
      </c>
      <c r="AX69" s="42">
        <v>11</v>
      </c>
      <c r="AY69" s="42">
        <v>3</v>
      </c>
      <c r="AZ69" s="42">
        <v>11</v>
      </c>
      <c r="BA69" s="42">
        <v>0</v>
      </c>
      <c r="BB69" s="42">
        <v>4</v>
      </c>
      <c r="BC69" s="42">
        <v>115</v>
      </c>
      <c r="BD69" s="43">
        <v>10</v>
      </c>
      <c r="BE69" s="43">
        <v>10</v>
      </c>
      <c r="BF69" s="43">
        <v>10</v>
      </c>
      <c r="BG69" s="43">
        <v>10</v>
      </c>
      <c r="BH69" s="43">
        <v>10</v>
      </c>
      <c r="BI69" s="42">
        <v>23</v>
      </c>
    </row>
  </sheetData>
  <sheetProtection formatColumns="0" formatRows="0" insertRows="0" deleteColumns="0" deleteRows="0" sort="0" autoFilter="0"/>
  <mergeCells count="122">
    <mergeCell ref="V2:AC2"/>
    <mergeCell ref="AD2:BB2"/>
    <mergeCell ref="V3:AC3"/>
    <mergeCell ref="AD3:BB3"/>
    <mergeCell ref="V4:AC4"/>
    <mergeCell ref="AD4:BB4"/>
    <mergeCell ref="V5:AC5"/>
    <mergeCell ref="AD5:BB5"/>
    <mergeCell ref="V6:AC6"/>
    <mergeCell ref="AD6:BB6"/>
    <mergeCell ref="V7:AC7"/>
    <mergeCell ref="AD7:BB7"/>
    <mergeCell ref="S28:AZ28"/>
    <mergeCell ref="S29:AZ29"/>
    <mergeCell ref="S31:T31"/>
    <mergeCell ref="V31:AB31"/>
    <mergeCell ref="AD31:AZ31"/>
    <mergeCell ref="S32:T32"/>
    <mergeCell ref="V32:AB32"/>
    <mergeCell ref="AD32:AZ32"/>
    <mergeCell ref="S33:T33"/>
    <mergeCell ref="V33:AB33"/>
    <mergeCell ref="AD33:AZ33"/>
    <mergeCell ref="S34:T34"/>
    <mergeCell ref="V34:AB34"/>
    <mergeCell ref="AD34:AZ34"/>
    <mergeCell ref="S36:T36"/>
    <mergeCell ref="V36:AB36"/>
    <mergeCell ref="AD36:AZ36"/>
    <mergeCell ref="S37:T37"/>
    <mergeCell ref="V37:AB37"/>
    <mergeCell ref="AD37:AZ37"/>
    <mergeCell ref="V39:AC39"/>
    <mergeCell ref="AD39:BA39"/>
    <mergeCell ref="S40:BB40"/>
    <mergeCell ref="V41:AB41"/>
    <mergeCell ref="AT41:AZ41"/>
    <mergeCell ref="AA44:AB44"/>
    <mergeCell ref="AY44:AZ44"/>
    <mergeCell ref="AA45:AB45"/>
    <mergeCell ref="AY45:AZ45"/>
    <mergeCell ref="V46:AC46"/>
    <mergeCell ref="AD46:BB46"/>
    <mergeCell ref="V47:AC47"/>
    <mergeCell ref="AD47:BB47"/>
    <mergeCell ref="V48:AC48"/>
    <mergeCell ref="AD48:BB48"/>
    <mergeCell ref="V49:AC49"/>
    <mergeCell ref="AD49:BB49"/>
    <mergeCell ref="V50:AC50"/>
    <mergeCell ref="AD50:BB50"/>
    <mergeCell ref="V51:AC51"/>
    <mergeCell ref="AD51:BB51"/>
    <mergeCell ref="T65:BC65"/>
    <mergeCell ref="T67:BC67"/>
    <mergeCell ref="E2:E18"/>
    <mergeCell ref="E46:E62"/>
    <mergeCell ref="F3:F17"/>
    <mergeCell ref="F47:F61"/>
    <mergeCell ref="G4:G16"/>
    <mergeCell ref="G48:G60"/>
    <mergeCell ref="H5:H15"/>
    <mergeCell ref="H49:H59"/>
    <mergeCell ref="I6:I14"/>
    <mergeCell ref="I50:I58"/>
    <mergeCell ref="J7:J13"/>
    <mergeCell ref="J51:J57"/>
    <mergeCell ref="K8:K12"/>
    <mergeCell ref="K52:K56"/>
    <mergeCell ref="P6:P14"/>
    <mergeCell ref="P50:P58"/>
    <mergeCell ref="Q7:Q13"/>
    <mergeCell ref="Q51:Q57"/>
    <mergeCell ref="R8:R12"/>
    <mergeCell ref="S8:S12"/>
    <mergeCell ref="S41:S44"/>
    <mergeCell ref="S52:S56"/>
    <mergeCell ref="T8:T12"/>
    <mergeCell ref="T41:T44"/>
    <mergeCell ref="T52:T56"/>
    <mergeCell ref="AC41:AC44"/>
    <mergeCell ref="AD8:AD12"/>
    <mergeCell ref="AD52:AD56"/>
    <mergeCell ref="AE8:AE11"/>
    <mergeCell ref="AE52:AE55"/>
    <mergeCell ref="AF8:AF11"/>
    <mergeCell ref="AF52:AF55"/>
    <mergeCell ref="AG8:AG11"/>
    <mergeCell ref="AG52:AG55"/>
    <mergeCell ref="AH8:AH11"/>
    <mergeCell ref="AH52:AH55"/>
    <mergeCell ref="AI8:AI10"/>
    <mergeCell ref="AI52:AI54"/>
    <mergeCell ref="AJ8:AJ10"/>
    <mergeCell ref="AJ52:AJ54"/>
    <mergeCell ref="AK8:AK10"/>
    <mergeCell ref="AK52:AK54"/>
    <mergeCell ref="AL8:AL10"/>
    <mergeCell ref="AL52:AL54"/>
    <mergeCell ref="AM8:AM9"/>
    <mergeCell ref="AM52:AM53"/>
    <mergeCell ref="AN8:AN9"/>
    <mergeCell ref="AN52:AN53"/>
    <mergeCell ref="AO8:AO9"/>
    <mergeCell ref="AO52:AO53"/>
    <mergeCell ref="AP8:AP9"/>
    <mergeCell ref="AP52:AP53"/>
    <mergeCell ref="BA41:BA44"/>
    <mergeCell ref="BB41:BB44"/>
    <mergeCell ref="BC8:BC13"/>
    <mergeCell ref="BC40:BC44"/>
    <mergeCell ref="BC52:BC57"/>
    <mergeCell ref="AD41:AG44"/>
    <mergeCell ref="AH41:AK44"/>
    <mergeCell ref="AL41:AO44"/>
    <mergeCell ref="AP41:AS44"/>
    <mergeCell ref="V42:W43"/>
    <mergeCell ref="X42:Y43"/>
    <mergeCell ref="AT42:AU43"/>
    <mergeCell ref="AV42:AW43"/>
    <mergeCell ref="Z42:AB43"/>
    <mergeCell ref="AX42:AZ43"/>
  </mergeCells>
  <dataValidations count="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X8 AZ8 AX20 AZ20 Z52 AB52 AX52 AZ52 Z65589 AB65589 AX65589 AZ65589 Z131125 AB131125 AX131125 AZ131125 Z196661 AB196661 AX196661 AZ196661 Z262197 AB262197 AX262197 AZ262197 Z327733 AB327733 AX327733 AZ327733 Z393269 AB393269 AX393269 AZ393269 Z458805 AB458805 AX458805 AZ458805 Z524341 AB524341 AX524341 AZ524341 Z589877 AB589877 AX589877 AZ589877 Z655413 AB655413 AX655413 AZ655413 Z720949 AB720949 AX720949 AZ720949 Z786485 AB786485 AX786485 AZ786485 Z852021 AB852021 AX852021 AZ852021 Z917557 AB917557 AX917557 AZ917557 Z983093 AB983093 AX983093 AZ983093"/>
    <dataValidation allowBlank="1" showInputMessage="1" showErrorMessage="1" prompt="Для выбора выполните двойной щелчок левой клавиши мыши по соответствующей ячейке." sqref="AA8 AC8:AD8 AP8 AY8 BA8 AD20 AG20:AH20 AK20:AL20 AP20 AY20 BA20 AA52 AC52:AD52 AP52 AY52 BA52 AA65589 AC65589 AY65589 BA65589 AA131125 AC131125 AY131125 BA131125 AA196661 AC196661 AY196661 BA196661 AA262197 AC262197 AY262197 BA262197 AA327733 AC327733 AY327733 BA327733 AA393269 AC393269 AY393269 BA393269 AA458805 AC458805 AY458805 BA458805 AA524341 AC524341 AY524341 BA524341 AA589877 AC589877 AY589877 BA589877 AA655413 AC655413 AY655413 BA655413 AA720949 AC720949 AY720949 BA720949 AA786485 AC786485 AY786485 BA786485 AA852021 AC852021 AY852021 BA852021 AA917557 AC917557 AY917557 BA917557 AA983093 AC983093 AY983093 BA983093 AH8:AH9 AH52:AH53 AK8:AL9 AK52:AL53"/>
    <dataValidation type="textLength" operator="lessThanOrEqual" allowBlank="1" showInputMessage="1" showErrorMessage="1" errorTitle="Ошибка" error="Допускается ввод не более 900 символов!" sqref="AS8 AS52 T8:T12 T52:T56 BC65583:BC65590 BC131119:BC131126 BC196655:BC196662 BC262191:BC262198 BC327727:BC327734 BC393263:BC393270 BC458799:BC458806 BC524335:BC524342 BC589871:BC589878 BC655407:BC655414 BC720943:BC720950 BC786479:BC786486 BC852015:BC852022 BC917551:BC917558 BC983087:BC983094">
      <formula1>900</formula1>
    </dataValidation>
    <dataValidation allowBlank="1" promptTitle="checkPeriodRange" sqref="W12 Y12 AU12 AW12 BB12 W56 Y56 AU56 AW56 BB56 W65590 Y65590 AW65590 W131126 Y131126 AW131126 W196662 Y196662 AW196662 W262198 Y262198 AW262198 W327734 Y327734 AW327734 W393270 Y393270 AW393270 W458806 Y458806 AW458806 W524342 Y524342 AW524342 W589878 Y589878 AW589878 W655414 Y655414 AW655414 W720950 Y720950 AW720950 W786486 Y786486 AW786486 W852022 Y852022 AW852022 W917558 Y917558 AW917558 W983094 Y983094 AW983094"/>
    <dataValidation type="list" allowBlank="1" showInputMessage="1" showErrorMessage="1" errorTitle="Ошибка" error="Выберите значение из списка" sqref="AD65587:AS65587 AD131123:AS131123 AD196659:AS196659 AD262195:AS262195 AD327731:AS327731 AD393267:AS393267 AD458803:AS458803 AD524339:AS524339 AD589875:AS589875 AD655411:AS655411 AD720947:AS720947 AD786483:AS786483 AD852019:AS852019 AD917555:AS917555 AD983091:AS983091">
      <formula1>kind_of_scheme_in</formula1>
    </dataValidation>
    <dataValidation type="list" allowBlank="1" showInputMessage="1" errorTitle="Ошибка" error="Выберите значение из списка" prompt="Выберите значение из списка" sqref="V65588:BB65588 V131124:BB131124 V196660:BB196660 V262196:BB262196 V327732:BB327732 V393268:BB393268 V458804:BB458804 V524340:BB524340 V589876:BB589876 V655412:BB655412 V720948:BB720948 V786484:BB786484 V852020:BB852020 V917556:BB917556 V983092:BB983092">
      <formula1>kind_of_cons</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decimal" operator="between" allowBlank="1" showErrorMessage="1" errorTitle="Ошибка" error="Допускается ввод только действительных чисел!" sqref="AG8:AG11 AG52:AG55 AO8:AO9 AO52:AO53">
      <formula1>-9.99999999999999E+23</formula1>
      <formula2>9.99999999999999E+23</formula2>
    </dataValidation>
    <dataValidation allowBlank="1" sqref="S65591:BC65597 S524343:BC524349 S983095:BC983101 S458807:BC458813 S917559:BC917565 S393271:BC393277 S852023:BC852029 S327735:BC327741 S786487:BC786493 S262199:BC262205 S720951:BC720957 S196663:BC196669 S655415:BC655421 S131127:BC131133 S589879:BC589885"/>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pageSetUpPr fitToPage="1"/>
  </sheetPr>
  <dimension ref="A1:AC29"/>
  <sheetViews>
    <sheetView showGridLines="0" zoomScale="90" zoomScaleNormal="90" workbookViewId="0">
      <pane xSplit="6" ySplit="11" topLeftCell="G12" activePane="bottomRight" state="frozen"/>
      <selection/>
      <selection pane="topRight"/>
      <selection pane="bottomLeft"/>
      <selection pane="bottomRight" activeCell="G13" sqref="G13"/>
    </sheetView>
  </sheetViews>
  <sheetFormatPr defaultColWidth="9.14285714285714" defaultRowHeight="14.25" customHeight="1"/>
  <cols>
    <col min="1" max="1" width="8" style="42" hidden="1" customWidth="1"/>
    <col min="2" max="2" width="6" style="37" hidden="1" customWidth="1"/>
    <col min="3" max="3" width="3" style="42" customWidth="1"/>
    <col min="4" max="4" width="3" style="216" customWidth="1"/>
    <col min="5" max="5" width="6" style="42" customWidth="1"/>
    <col min="6" max="6" width="2.71428571428571" style="42" hidden="1" customWidth="1"/>
    <col min="7" max="7" width="46.7142857142857" style="42" customWidth="1"/>
    <col min="8" max="8" width="42" style="42" customWidth="1"/>
    <col min="9" max="9" width="14" style="42" customWidth="1"/>
    <col min="10" max="10" width="3" style="150" customWidth="1"/>
    <col min="11" max="13" width="9.14285714285714" style="150" hidden="1"/>
    <col min="14" max="14" width="25.7142857142857" style="150" hidden="1" customWidth="1"/>
    <col min="15" max="15" width="14.4190476190476" style="150" hidden="1" customWidth="1"/>
    <col min="16" max="19" width="9.14285714285714" style="266" hidden="1"/>
    <col min="20" max="27" width="9.14285714285714" style="42" hidden="1"/>
    <col min="28" max="28" width="8" style="42" customWidth="1"/>
    <col min="29" max="29" width="9.14285714285714" style="42" hidden="1"/>
  </cols>
  <sheetData>
    <row r="1" s="43" customFormat="1" ht="5.25" hidden="1" customHeight="1" spans="1:29">
      <c r="A1" s="36"/>
      <c r="D1" s="92"/>
      <c r="G1" s="587" t="s">
        <v>84</v>
      </c>
      <c r="H1" s="92" t="s">
        <v>85</v>
      </c>
      <c r="I1" s="627" t="s">
        <v>86</v>
      </c>
      <c r="J1" s="587" t="s">
        <v>84</v>
      </c>
      <c r="K1" s="587"/>
      <c r="L1" s="587"/>
      <c r="M1" s="587"/>
      <c r="N1" s="587"/>
      <c r="O1" s="587"/>
      <c r="P1" s="587"/>
      <c r="Q1" s="587"/>
      <c r="R1" s="587"/>
      <c r="S1" s="587"/>
      <c r="T1" s="627"/>
      <c r="U1" s="627"/>
      <c r="V1" s="627"/>
      <c r="W1" s="627"/>
      <c r="X1" s="627"/>
      <c r="Y1" s="627"/>
      <c r="Z1" s="627"/>
      <c r="AA1" s="627"/>
      <c r="AB1" s="627"/>
      <c r="AC1" s="43" t="s">
        <v>14</v>
      </c>
    </row>
    <row r="2" s="1041" customFormat="1" ht="11.25" customHeight="1" spans="1:29">
      <c r="A2" s="586"/>
      <c r="B2" s="626"/>
      <c r="C2" s="626"/>
      <c r="D2" s="1304"/>
      <c r="E2" s="626"/>
      <c r="F2" s="626"/>
      <c r="G2" s="626"/>
      <c r="H2" s="626"/>
      <c r="I2" s="626"/>
      <c r="J2" s="587"/>
      <c r="K2" s="587"/>
      <c r="L2" s="587"/>
      <c r="M2" s="587"/>
      <c r="N2" s="587"/>
      <c r="O2" s="587"/>
      <c r="P2" s="1311"/>
      <c r="Q2" s="1311"/>
      <c r="R2" s="1311"/>
      <c r="S2" s="1311"/>
      <c r="T2" s="1304"/>
      <c r="U2" s="1304"/>
      <c r="V2" s="1304"/>
      <c r="W2" s="1304"/>
      <c r="X2" s="1304"/>
      <c r="Y2" s="1304"/>
      <c r="Z2" s="1304"/>
      <c r="AA2" s="1304"/>
      <c r="AB2" s="1304"/>
      <c r="AC2" s="1041">
        <v>11</v>
      </c>
    </row>
    <row r="3" s="205" customFormat="1" ht="3" customHeight="1" spans="1:29">
      <c r="A3" s="42"/>
      <c r="B3" s="37"/>
      <c r="C3" s="42"/>
      <c r="D3" s="216"/>
      <c r="E3" s="42"/>
      <c r="F3" s="42"/>
      <c r="G3" s="42"/>
      <c r="H3" s="42"/>
      <c r="I3" s="60"/>
      <c r="J3" s="587"/>
      <c r="K3" s="150"/>
      <c r="L3" s="150"/>
      <c r="M3" s="150"/>
      <c r="N3" s="150"/>
      <c r="O3" s="150"/>
      <c r="P3" s="266"/>
      <c r="Q3" s="266"/>
      <c r="R3" s="266"/>
      <c r="S3" s="266"/>
      <c r="AC3" s="205">
        <v>3</v>
      </c>
    </row>
    <row r="4" s="205" customFormat="1" ht="27.3" customHeight="1" spans="1:29">
      <c r="A4" s="42"/>
      <c r="B4" s="37"/>
      <c r="C4" s="42"/>
      <c r="D4" s="216"/>
      <c r="E4" s="562" t="str">
        <f>NameTemplatesInListMO</f>
        <v>Перечень муниципальных районов и муниципальных образований (территорий действия тарифа)</v>
      </c>
      <c r="F4" s="562"/>
      <c r="G4" s="562"/>
      <c r="H4" s="562"/>
      <c r="I4" s="562"/>
      <c r="J4" s="587"/>
      <c r="K4" s="150"/>
      <c r="L4" s="150"/>
      <c r="M4" s="150"/>
      <c r="N4" s="150"/>
      <c r="O4" s="150"/>
      <c r="P4" s="266"/>
      <c r="Q4" s="266"/>
      <c r="R4" s="266"/>
      <c r="S4" s="266"/>
      <c r="AC4" s="205">
        <v>26</v>
      </c>
    </row>
    <row r="5" s="205" customFormat="1" ht="3" customHeight="1" spans="1:29">
      <c r="A5" s="42"/>
      <c r="B5" s="37"/>
      <c r="C5" s="42"/>
      <c r="D5" s="216"/>
      <c r="E5" s="42"/>
      <c r="F5" s="42"/>
      <c r="G5" s="591"/>
      <c r="H5" s="591"/>
      <c r="I5" s="586"/>
      <c r="J5" s="150"/>
      <c r="K5" s="150"/>
      <c r="L5" s="150"/>
      <c r="M5" s="150"/>
      <c r="N5" s="150"/>
      <c r="O5" s="150"/>
      <c r="P5" s="266"/>
      <c r="Q5" s="266"/>
      <c r="R5" s="266"/>
      <c r="S5" s="266"/>
      <c r="AC5" s="205">
        <v>3</v>
      </c>
    </row>
    <row r="6" s="205" customFormat="1" ht="20.25" hidden="1" customHeight="1" spans="1:29">
      <c r="A6" s="80"/>
      <c r="B6" s="263"/>
      <c r="C6" s="80"/>
      <c r="D6" s="216"/>
      <c r="E6" s="519"/>
      <c r="F6" s="519"/>
      <c r="G6" s="591"/>
      <c r="H6" s="1305"/>
      <c r="I6" s="1305"/>
      <c r="J6" s="150"/>
      <c r="K6" s="150"/>
      <c r="L6" s="150"/>
      <c r="M6" s="150"/>
      <c r="N6" s="150"/>
      <c r="O6" s="150"/>
      <c r="P6" s="266"/>
      <c r="Q6" s="266"/>
      <c r="R6" s="266"/>
      <c r="S6" s="266"/>
      <c r="AC6" s="205">
        <v>0</v>
      </c>
    </row>
    <row r="7" ht="25.5" hidden="1" customHeight="1" spans="29:29">
      <c r="AC7" s="42">
        <v>0</v>
      </c>
    </row>
    <row r="8" s="205" customFormat="1" ht="14.7" customHeight="1" spans="1:29">
      <c r="A8" s="42"/>
      <c r="B8" s="37"/>
      <c r="C8" s="42"/>
      <c r="D8" s="216"/>
      <c r="E8" s="125" t="s">
        <v>87</v>
      </c>
      <c r="F8" s="127"/>
      <c r="G8" s="126"/>
      <c r="H8" s="915" t="s">
        <v>88</v>
      </c>
      <c r="I8" s="915"/>
      <c r="J8" s="150"/>
      <c r="K8" s="150"/>
      <c r="L8" s="150"/>
      <c r="M8" s="150"/>
      <c r="N8" s="150"/>
      <c r="O8" s="150"/>
      <c r="P8" s="266"/>
      <c r="Q8" s="266"/>
      <c r="R8" s="266"/>
      <c r="S8" s="266"/>
      <c r="AC8" s="205">
        <v>14</v>
      </c>
    </row>
    <row r="9" s="205" customFormat="1" ht="21" customHeight="1" spans="1:29">
      <c r="A9" s="42"/>
      <c r="B9" s="37"/>
      <c r="C9" s="42"/>
      <c r="D9" s="216"/>
      <c r="E9" s="609" t="s">
        <v>89</v>
      </c>
      <c r="F9" s="609"/>
      <c r="G9" s="593" t="s">
        <v>90</v>
      </c>
      <c r="H9" s="593" t="s">
        <v>90</v>
      </c>
      <c r="I9" s="593" t="s">
        <v>86</v>
      </c>
      <c r="J9" s="150"/>
      <c r="K9" s="150"/>
      <c r="L9" s="150"/>
      <c r="M9" s="150"/>
      <c r="N9" s="150"/>
      <c r="O9" s="150"/>
      <c r="P9" s="266"/>
      <c r="Q9" s="266"/>
      <c r="R9" s="266"/>
      <c r="S9" s="266"/>
      <c r="AC9" s="205">
        <v>20</v>
      </c>
    </row>
    <row r="10" ht="11.55" customHeight="1" spans="4:29">
      <c r="D10" s="234"/>
      <c r="E10" s="1306" t="s">
        <v>91</v>
      </c>
      <c r="F10" s="1306"/>
      <c r="G10" s="1306" t="s">
        <v>92</v>
      </c>
      <c r="H10" s="1306" t="s">
        <v>93</v>
      </c>
      <c r="I10" s="1306" t="s">
        <v>94</v>
      </c>
      <c r="J10" s="44"/>
      <c r="K10" s="44"/>
      <c r="L10" s="44"/>
      <c r="M10" s="44"/>
      <c r="N10" s="44"/>
      <c r="O10" s="44"/>
      <c r="P10" s="1035"/>
      <c r="Q10" s="1035"/>
      <c r="R10" s="1035"/>
      <c r="S10" s="1035"/>
      <c r="AC10" s="42">
        <v>11</v>
      </c>
    </row>
    <row r="11" s="205" customFormat="1" ht="1.05" customHeight="1" spans="1:29">
      <c r="A11" s="42"/>
      <c r="B11" s="37"/>
      <c r="C11" s="42"/>
      <c r="D11" s="216"/>
      <c r="E11" s="1307"/>
      <c r="F11" s="1307"/>
      <c r="G11" s="1308"/>
      <c r="H11" s="1308"/>
      <c r="I11" s="1312"/>
      <c r="J11" s="1313" t="s">
        <v>95</v>
      </c>
      <c r="K11" s="150"/>
      <c r="L11" s="150"/>
      <c r="M11" s="150" t="s">
        <v>96</v>
      </c>
      <c r="N11" s="150" t="s">
        <v>97</v>
      </c>
      <c r="O11" s="150" t="s">
        <v>98</v>
      </c>
      <c r="P11" s="266"/>
      <c r="Q11" s="266"/>
      <c r="R11" s="266"/>
      <c r="S11" s="266"/>
      <c r="AC11" s="205">
        <v>1</v>
      </c>
    </row>
    <row r="12" s="205" customFormat="1" ht="15" customHeight="1" spans="1:29">
      <c r="A12" s="85">
        <v>1</v>
      </c>
      <c r="B12" s="37"/>
      <c r="C12" s="42"/>
      <c r="D12" s="216"/>
      <c r="E12" s="63">
        <f>A12</f>
        <v>1</v>
      </c>
      <c r="F12" s="672" t="s">
        <v>99</v>
      </c>
      <c r="G12" s="218" t="str">
        <f>"Территория "&amp;E12</f>
        <v>Территория 1</v>
      </c>
      <c r="H12" s="219"/>
      <c r="I12" s="219"/>
      <c r="J12" s="150"/>
      <c r="K12" s="150"/>
      <c r="L12" s="150"/>
      <c r="M12" s="150"/>
      <c r="N12" s="150"/>
      <c r="O12" s="150"/>
      <c r="P12" s="266"/>
      <c r="Q12" s="266"/>
      <c r="R12" s="266"/>
      <c r="S12" s="266"/>
      <c r="AC12" s="205">
        <v>14</v>
      </c>
    </row>
    <row r="13" customFormat="1" ht="15.75" customHeight="1" spans="1:29">
      <c r="A13" s="85"/>
      <c r="B13" s="37">
        <v>1</v>
      </c>
      <c r="C13" s="37"/>
      <c r="D13" s="220"/>
      <c r="E13" s="72" t="str">
        <f>A12&amp;"."&amp;B13</f>
        <v>1.1</v>
      </c>
      <c r="F13" s="620" t="s">
        <v>100</v>
      </c>
      <c r="G13" s="222" t="s">
        <v>101</v>
      </c>
      <c r="H13" s="222" t="s">
        <v>102</v>
      </c>
      <c r="I13" s="267" t="s">
        <v>103</v>
      </c>
      <c r="J13" s="150" t="e">
        <f>MERGEVALUE(G13)</f>
        <v>#NAME?</v>
      </c>
      <c r="K13" s="43"/>
      <c r="L13" s="43"/>
      <c r="M13" s="150" t="str">
        <f t="array" ref="M13">IF(ISERROR(MATCH(MID(N13,1,250),MID(note_ter,1,250),0)),"n","y")</f>
        <v>n</v>
      </c>
      <c r="N13" s="43"/>
      <c r="O13" s="150" t="str">
        <f>H13&amp;"("&amp;I13&amp;")"</f>
        <v>Город Елабуга(92626101)</v>
      </c>
      <c r="P13" s="37"/>
      <c r="Q13" s="37"/>
      <c r="R13" s="287"/>
      <c r="S13" s="37"/>
      <c r="T13" s="37"/>
      <c r="U13" s="37"/>
      <c r="V13" s="263"/>
      <c r="W13" s="263"/>
      <c r="X13" s="151"/>
      <c r="Y13" s="151"/>
      <c r="Z13" s="151"/>
      <c r="AA13" s="151"/>
      <c r="AB13" s="151"/>
      <c r="AC13">
        <v>15</v>
      </c>
    </row>
    <row r="14" customFormat="1" ht="15.75" customHeight="1" spans="1:29">
      <c r="A14" s="85"/>
      <c r="B14" s="37"/>
      <c r="C14" s="223"/>
      <c r="D14" s="215"/>
      <c r="E14" s="224"/>
      <c r="F14" s="225"/>
      <c r="G14" s="226" t="s">
        <v>104</v>
      </c>
      <c r="H14" s="227"/>
      <c r="I14" s="268"/>
      <c r="J14" s="43"/>
      <c r="K14" s="43"/>
      <c r="L14" s="43"/>
      <c r="M14" s="43"/>
      <c r="N14" s="150"/>
      <c r="O14" s="43"/>
      <c r="P14" s="37"/>
      <c r="Q14" s="37"/>
      <c r="R14" s="287"/>
      <c r="S14" s="37"/>
      <c r="T14" s="37"/>
      <c r="U14" s="37"/>
      <c r="V14" s="263"/>
      <c r="W14" s="263"/>
      <c r="X14" s="151"/>
      <c r="Y14" s="151"/>
      <c r="Z14" s="151"/>
      <c r="AA14" s="151"/>
      <c r="AB14" s="151"/>
      <c r="AC14">
        <v>15</v>
      </c>
    </row>
    <row r="15" s="205" customFormat="1" ht="14.7" customHeight="1" spans="1:29">
      <c r="A15" s="42"/>
      <c r="B15" s="37"/>
      <c r="C15" s="42"/>
      <c r="D15" s="216"/>
      <c r="E15" s="1309"/>
      <c r="F15" s="1310"/>
      <c r="G15" s="331" t="s">
        <v>105</v>
      </c>
      <c r="H15" s="1310"/>
      <c r="I15" s="1314"/>
      <c r="J15" s="1313"/>
      <c r="K15" s="150"/>
      <c r="L15" s="150"/>
      <c r="M15" s="150"/>
      <c r="N15" s="150" t="s">
        <v>106</v>
      </c>
      <c r="O15" s="150"/>
      <c r="P15" s="266"/>
      <c r="Q15" s="266"/>
      <c r="R15" s="266"/>
      <c r="S15" s="266"/>
      <c r="AC15" s="205">
        <v>14</v>
      </c>
    </row>
    <row r="16" s="205" customFormat="1" ht="22.05" customHeight="1" spans="1:29">
      <c r="A16" s="42"/>
      <c r="B16" s="37"/>
      <c r="C16" s="42"/>
      <c r="D16" s="216"/>
      <c r="E16" s="600"/>
      <c r="F16" s="600"/>
      <c r="G16" s="600"/>
      <c r="H16" s="600"/>
      <c r="I16" s="600"/>
      <c r="J16" s="150"/>
      <c r="K16" s="150"/>
      <c r="L16" s="150"/>
      <c r="M16" s="150"/>
      <c r="N16" s="150"/>
      <c r="O16" s="150"/>
      <c r="P16" s="266"/>
      <c r="Q16" s="266"/>
      <c r="R16" s="266"/>
      <c r="S16" s="266"/>
      <c r="AC16" s="205">
        <v>21</v>
      </c>
    </row>
    <row r="17" s="205" customFormat="1" ht="14.7" customHeight="1" spans="1:29">
      <c r="A17" s="42"/>
      <c r="B17" s="37"/>
      <c r="C17" s="42"/>
      <c r="D17" s="216"/>
      <c r="E17" s="42"/>
      <c r="F17" s="42"/>
      <c r="G17" s="42"/>
      <c r="H17" s="42"/>
      <c r="I17" s="42"/>
      <c r="J17" s="150"/>
      <c r="K17" s="150"/>
      <c r="L17" s="150"/>
      <c r="M17" s="150"/>
      <c r="N17" s="150"/>
      <c r="O17" s="150"/>
      <c r="P17" s="266"/>
      <c r="Q17" s="266"/>
      <c r="R17" s="266"/>
      <c r="S17" s="266"/>
      <c r="AC17" s="205">
        <v>14</v>
      </c>
    </row>
    <row r="18" s="205" customFormat="1" ht="1.05" customHeight="1" spans="1:29">
      <c r="A18" s="42"/>
      <c r="B18" s="37"/>
      <c r="C18" s="42"/>
      <c r="D18" s="216"/>
      <c r="E18" s="42"/>
      <c r="F18" s="42"/>
      <c r="G18" s="42"/>
      <c r="H18" s="42"/>
      <c r="I18" s="42"/>
      <c r="J18" s="150"/>
      <c r="K18" s="150"/>
      <c r="L18" s="150"/>
      <c r="M18" s="150"/>
      <c r="N18" s="150"/>
      <c r="O18" s="150"/>
      <c r="P18" s="266"/>
      <c r="Q18" s="266"/>
      <c r="R18" s="266"/>
      <c r="S18" s="266"/>
      <c r="AC18" s="205">
        <v>1</v>
      </c>
    </row>
    <row r="19" s="638" customFormat="1" ht="10.5" customHeight="1" spans="2:29">
      <c r="B19" s="641"/>
      <c r="D19" s="642"/>
      <c r="J19" s="150"/>
      <c r="K19" s="150"/>
      <c r="L19" s="150"/>
      <c r="M19" s="150"/>
      <c r="N19" s="150"/>
      <c r="O19" s="150"/>
      <c r="P19" s="266"/>
      <c r="Q19" s="266"/>
      <c r="R19" s="266"/>
      <c r="S19" s="266"/>
      <c r="AC19" s="638">
        <v>10</v>
      </c>
    </row>
    <row r="20" s="638" customFormat="1" ht="10.5" customHeight="1" spans="2:29">
      <c r="B20" s="641"/>
      <c r="D20" s="642"/>
      <c r="J20" s="150"/>
      <c r="K20" s="150"/>
      <c r="L20" s="150"/>
      <c r="M20" s="150"/>
      <c r="N20" s="150"/>
      <c r="O20" s="150"/>
      <c r="P20" s="266"/>
      <c r="Q20" s="266"/>
      <c r="R20" s="266"/>
      <c r="S20" s="266"/>
      <c r="AC20" s="638">
        <v>10</v>
      </c>
    </row>
    <row r="21" ht="14.7" customHeight="1" spans="29:29">
      <c r="AC21" s="42">
        <v>14</v>
      </c>
    </row>
    <row r="22" ht="14.7" customHeight="1" spans="29:29">
      <c r="AC22" s="42">
        <v>14</v>
      </c>
    </row>
    <row r="23" ht="14.7" customHeight="1" spans="29:29">
      <c r="AC23" s="42">
        <v>14</v>
      </c>
    </row>
    <row r="24" ht="14.7" customHeight="1" spans="8:29">
      <c r="H24" s="12"/>
      <c r="AC24" s="42">
        <v>14</v>
      </c>
    </row>
    <row r="25" ht="14.7" customHeight="1" spans="29:29">
      <c r="AC25" s="42">
        <v>14</v>
      </c>
    </row>
    <row r="26" ht="14.7" customHeight="1" spans="29:29">
      <c r="AC26" s="42">
        <v>14</v>
      </c>
    </row>
    <row r="27" ht="14.7" customHeight="1" spans="29:29">
      <c r="AC27" s="42">
        <v>14</v>
      </c>
    </row>
    <row r="28" ht="14.7" customHeight="1" spans="10:29">
      <c r="J28" s="42"/>
      <c r="K28" s="42"/>
      <c r="L28" s="42"/>
      <c r="AC28" s="42">
        <v>14</v>
      </c>
    </row>
    <row r="29" ht="22.5" hidden="1" customHeight="1" spans="1:29">
      <c r="A29" s="42" t="s">
        <v>83</v>
      </c>
      <c r="B29" s="37">
        <v>0</v>
      </c>
      <c r="C29" s="42">
        <v>3</v>
      </c>
      <c r="D29" s="216">
        <v>3</v>
      </c>
      <c r="E29" s="42">
        <v>6</v>
      </c>
      <c r="F29" s="42">
        <v>0</v>
      </c>
      <c r="G29" s="42">
        <v>46</v>
      </c>
      <c r="H29" s="42">
        <v>42</v>
      </c>
      <c r="I29" s="42">
        <v>14</v>
      </c>
      <c r="J29" s="150">
        <v>3</v>
      </c>
      <c r="K29" s="150">
        <v>0</v>
      </c>
      <c r="L29" s="150">
        <v>0</v>
      </c>
      <c r="M29" s="150">
        <v>0</v>
      </c>
      <c r="N29" s="150">
        <v>0</v>
      </c>
      <c r="O29" s="150">
        <v>0</v>
      </c>
      <c r="P29" s="266">
        <v>0</v>
      </c>
      <c r="Q29" s="266">
        <v>0</v>
      </c>
      <c r="R29" s="266">
        <v>0</v>
      </c>
      <c r="S29" s="266">
        <v>0</v>
      </c>
      <c r="T29" s="42">
        <v>0</v>
      </c>
      <c r="U29" s="42">
        <v>0</v>
      </c>
      <c r="V29" s="42">
        <v>0</v>
      </c>
      <c r="W29" s="42">
        <v>0</v>
      </c>
      <c r="X29" s="42">
        <v>0</v>
      </c>
      <c r="Y29" s="42">
        <v>0</v>
      </c>
      <c r="Z29" s="42">
        <v>0</v>
      </c>
      <c r="AA29" s="42">
        <v>0</v>
      </c>
      <c r="AB29" s="42">
        <v>8</v>
      </c>
      <c r="AC29" s="42">
        <v>23</v>
      </c>
    </row>
  </sheetData>
  <sheetProtection formatColumns="0" formatRows="0" insertRows="0" deleteColumns="0" deleteRows="0" sort="0" autoFilter="0"/>
  <mergeCells count="4">
    <mergeCell ref="E4:I4"/>
    <mergeCell ref="E8:G8"/>
    <mergeCell ref="H8:I8"/>
    <mergeCell ref="A12:A14"/>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Y59"/>
  <sheetViews>
    <sheetView showGridLines="0" zoomScale="90" zoomScaleNormal="90" workbookViewId="0">
      <pane xSplit="32" ySplit="41" topLeftCell="AG42"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8" width="19.7142857142857" style="42" hidden="1" customWidth="1"/>
    <col min="29" max="29" width="11.7142857142857" style="42" hidden="1" customWidth="1"/>
    <col min="30" max="30" width="3.71428571428571" style="42" hidden="1" customWidth="1"/>
    <col min="31" max="31" width="11.7142857142857" style="42" hidden="1" customWidth="1"/>
    <col min="32" max="32" width="8.57142857142857" style="42" hidden="1" customWidth="1"/>
    <col min="33" max="33" width="19.7142857142857" style="42" customWidth="1"/>
    <col min="34" max="39" width="19" style="42" customWidth="1"/>
    <col min="40" max="40" width="11" style="42" customWidth="1"/>
    <col min="41" max="41" width="3.71428571428571" style="42" customWidth="1"/>
    <col min="42" max="42" width="11" style="42" customWidth="1"/>
    <col min="43" max="43" width="8.57142857142857" style="42" hidden="1" customWidth="1"/>
    <col min="44" max="44" width="4" style="42" customWidth="1"/>
    <col min="45" max="45" width="115" style="42" customWidth="1"/>
    <col min="46" max="50" width="10" style="43" customWidth="1"/>
    <col min="51" max="51" width="10.5714285714286" style="42" hidden="1"/>
  </cols>
  <sheetData>
    <row r="1" ht="22.5" hidden="1" customHeight="1" spans="51:51">
      <c r="AY1" s="42" t="s">
        <v>14</v>
      </c>
    </row>
    <row r="2" ht="23.25" hidden="1" customHeight="1" spans="1:51">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47"/>
      <c r="AD2" s="1047"/>
      <c r="AE2" s="1047"/>
      <c r="AF2" s="1075"/>
      <c r="AG2" s="1076" t="e">
        <f>INDEX(PT_DIFFERENTIATION_NTAR,MATCH(A2,PT_DIFFERENTIATION_NTAR_ID,0))</f>
        <v>#N/A</v>
      </c>
      <c r="AH2" s="1047"/>
      <c r="AI2" s="1047"/>
      <c r="AJ2" s="1047"/>
      <c r="AK2" s="1047"/>
      <c r="AL2" s="1047"/>
      <c r="AM2" s="1047"/>
      <c r="AN2" s="1047"/>
      <c r="AO2" s="1047"/>
      <c r="AP2" s="1047"/>
      <c r="AQ2" s="1047"/>
      <c r="AR2" s="1075"/>
      <c r="AS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150"/>
      <c r="AV2" s="150" t="str">
        <f t="shared" ref="AV2:AV13" si="0">IF(T2="","",T2)</f>
        <v>Наименование тарифа</v>
      </c>
      <c r="AW2" s="150"/>
      <c r="AX2" s="150"/>
      <c r="AY2" s="42">
        <v>0</v>
      </c>
    </row>
    <row r="3" ht="23.25" hidden="1" customHeight="1" spans="1:51">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47"/>
      <c r="AD3" s="1047"/>
      <c r="AE3" s="1047"/>
      <c r="AF3" s="1075"/>
      <c r="AG3" s="1076" t="e">
        <f>INDEX(PT_DIFFERENTIATION_TER,MATCH(B3,PT_DIFFERENTIATION_TER_ID,0))</f>
        <v>#N/A</v>
      </c>
      <c r="AH3" s="1047"/>
      <c r="AI3" s="1047"/>
      <c r="AJ3" s="1047"/>
      <c r="AK3" s="1047"/>
      <c r="AL3" s="1047"/>
      <c r="AM3" s="1047"/>
      <c r="AN3" s="1047"/>
      <c r="AO3" s="1047"/>
      <c r="AP3" s="1047"/>
      <c r="AQ3" s="1047"/>
      <c r="AR3" s="1075"/>
      <c r="AS3" s="135" t="s">
        <v>403</v>
      </c>
      <c r="AU3" s="150"/>
      <c r="AV3" s="150" t="str">
        <f t="shared" si="0"/>
        <v>Территория действия тарифа</v>
      </c>
      <c r="AW3" s="150"/>
      <c r="AX3" s="150"/>
      <c r="AY3" s="42">
        <v>0</v>
      </c>
    </row>
    <row r="4" ht="23.25" hidden="1" customHeight="1" spans="1:51">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540</v>
      </c>
      <c r="U4" s="83"/>
      <c r="V4" s="1076"/>
      <c r="W4" s="1047"/>
      <c r="X4" s="1047"/>
      <c r="Y4" s="1047"/>
      <c r="Z4" s="1047"/>
      <c r="AA4" s="1047"/>
      <c r="AB4" s="1047"/>
      <c r="AC4" s="1047"/>
      <c r="AD4" s="1047"/>
      <c r="AE4" s="1047"/>
      <c r="AF4" s="1075"/>
      <c r="AG4" s="1076" t="e">
        <f>INDEX(PT_DIFFERENTIATION_CS,MATCH(C4,PT_DIFFERENTIATION_CS_ID,0))</f>
        <v>#N/A</v>
      </c>
      <c r="AH4" s="1047"/>
      <c r="AI4" s="1047"/>
      <c r="AJ4" s="1047"/>
      <c r="AK4" s="1047"/>
      <c r="AL4" s="1047"/>
      <c r="AM4" s="1047"/>
      <c r="AN4" s="1047"/>
      <c r="AO4" s="1047"/>
      <c r="AP4" s="1047"/>
      <c r="AQ4" s="1047"/>
      <c r="AR4" s="1075"/>
      <c r="AS4" s="135" t="s">
        <v>541</v>
      </c>
      <c r="AU4" s="150"/>
      <c r="AV4" s="150" t="str">
        <f t="shared" si="0"/>
        <v>Наименование централизованной системы горячего водоснабжения</v>
      </c>
      <c r="AW4" s="150"/>
      <c r="AX4" s="150"/>
      <c r="AY4" s="42">
        <v>0</v>
      </c>
    </row>
    <row r="5" ht="23.25" hidden="1" customHeight="1" spans="1:51">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3"/>
      <c r="AC5" s="1113"/>
      <c r="AD5" s="1113"/>
      <c r="AE5" s="1113"/>
      <c r="AF5" s="1117"/>
      <c r="AG5" s="821"/>
      <c r="AH5" s="1120"/>
      <c r="AI5" s="1120"/>
      <c r="AJ5" s="1120"/>
      <c r="AK5" s="1120"/>
      <c r="AL5" s="1120"/>
      <c r="AM5" s="1120"/>
      <c r="AN5" s="1120"/>
      <c r="AO5" s="1120"/>
      <c r="AP5" s="1120"/>
      <c r="AQ5" s="1120"/>
      <c r="AR5" s="1121"/>
      <c r="AS5" s="135" t="s">
        <v>486</v>
      </c>
      <c r="AU5" s="150"/>
      <c r="AV5" s="150" t="str">
        <f t="shared" si="0"/>
        <v>Наименование признака дифференциации</v>
      </c>
      <c r="AW5" s="150"/>
      <c r="AX5" s="150"/>
      <c r="AY5" s="42">
        <v>0</v>
      </c>
    </row>
    <row r="6" ht="23.25" hidden="1" customHeight="1" spans="1:51">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99"/>
      <c r="AC6" s="99"/>
      <c r="AD6" s="99"/>
      <c r="AE6" s="99"/>
      <c r="AF6" s="136"/>
      <c r="AG6" s="98"/>
      <c r="AH6" s="99"/>
      <c r="AI6" s="99"/>
      <c r="AJ6" s="99"/>
      <c r="AK6" s="99"/>
      <c r="AL6" s="99"/>
      <c r="AM6" s="99"/>
      <c r="AN6" s="99"/>
      <c r="AO6" s="99"/>
      <c r="AP6" s="99"/>
      <c r="AQ6" s="99"/>
      <c r="AR6" s="136"/>
      <c r="AS6" s="1122" t="s">
        <v>487</v>
      </c>
      <c r="AU6" s="150"/>
      <c r="AV6" s="150" t="str">
        <f t="shared" si="0"/>
        <v>Группа потребителей</v>
      </c>
      <c r="AW6" s="150"/>
      <c r="AX6" s="150"/>
      <c r="AY6" s="42">
        <v>0</v>
      </c>
    </row>
    <row r="7" ht="23.25" hidden="1" customHeight="1" spans="1:51">
      <c r="A7" s="45"/>
      <c r="B7" s="45"/>
      <c r="C7" s="45"/>
      <c r="D7" s="45"/>
      <c r="E7" s="1039"/>
      <c r="F7" s="1039"/>
      <c r="G7" s="1039"/>
      <c r="H7" s="1039"/>
      <c r="I7" s="1044"/>
      <c r="J7" s="1044"/>
      <c r="K7" s="228" t="e">
        <f>J6&amp;".1"</f>
        <v>#N/A</v>
      </c>
      <c r="L7" s="1040"/>
      <c r="P7" s="92"/>
      <c r="Q7" s="92"/>
      <c r="R7" s="96">
        <v>1</v>
      </c>
      <c r="S7" s="64" t="e">
        <f>$K7</f>
        <v>#N/A</v>
      </c>
      <c r="T7" s="1114"/>
      <c r="U7" s="83"/>
      <c r="V7" s="101"/>
      <c r="W7" s="101"/>
      <c r="X7" s="101"/>
      <c r="Y7" s="101"/>
      <c r="Z7" s="101"/>
      <c r="AA7" s="101"/>
      <c r="AB7" s="101"/>
      <c r="AC7" s="138"/>
      <c r="AD7" s="139" t="s">
        <v>62</v>
      </c>
      <c r="AE7" s="138"/>
      <c r="AF7" s="139" t="s">
        <v>62</v>
      </c>
      <c r="AG7" s="101"/>
      <c r="AH7" s="101"/>
      <c r="AI7" s="101"/>
      <c r="AJ7" s="101"/>
      <c r="AK7" s="101"/>
      <c r="AL7" s="101"/>
      <c r="AM7" s="101"/>
      <c r="AN7" s="138"/>
      <c r="AO7" s="139" t="s">
        <v>62</v>
      </c>
      <c r="AP7" s="1123"/>
      <c r="AQ7" s="139" t="s">
        <v>62</v>
      </c>
      <c r="AR7" s="1124"/>
      <c r="AS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3" t="e">
        <f>STRCHECKDATE(V8:AR8)</f>
        <v>#NAME?</v>
      </c>
      <c r="AU7" s="150"/>
      <c r="AV7" s="150" t="str">
        <f t="shared" si="0"/>
        <v/>
      </c>
      <c r="AW7" s="150"/>
      <c r="AX7" s="150"/>
      <c r="AY7" s="42">
        <v>0</v>
      </c>
    </row>
    <row r="8" hidden="1" customHeight="1" spans="1:51">
      <c r="A8" s="45"/>
      <c r="B8" s="45"/>
      <c r="C8" s="45"/>
      <c r="D8" s="45"/>
      <c r="E8" s="1039"/>
      <c r="F8" s="1039"/>
      <c r="G8" s="1039"/>
      <c r="H8" s="1039"/>
      <c r="I8" s="1044"/>
      <c r="J8" s="1044"/>
      <c r="K8" s="228"/>
      <c r="L8" s="1040"/>
      <c r="P8" s="92"/>
      <c r="Q8" s="92"/>
      <c r="R8" s="96"/>
      <c r="S8" s="103"/>
      <c r="T8" s="83"/>
      <c r="U8" s="83"/>
      <c r="V8" s="102"/>
      <c r="W8" s="102"/>
      <c r="X8" s="102"/>
      <c r="Y8" s="102"/>
      <c r="Z8" s="102"/>
      <c r="AA8" s="102"/>
      <c r="AB8" s="102"/>
      <c r="AC8" s="142"/>
      <c r="AD8" s="139"/>
      <c r="AE8" s="142"/>
      <c r="AF8" s="139"/>
      <c r="AG8" s="102"/>
      <c r="AH8" s="102"/>
      <c r="AI8" s="102"/>
      <c r="AJ8" s="102"/>
      <c r="AK8" s="102"/>
      <c r="AL8" s="102"/>
      <c r="AM8" s="102"/>
      <c r="AN8" s="142"/>
      <c r="AO8" s="139"/>
      <c r="AP8" s="1126"/>
      <c r="AQ8" s="139"/>
      <c r="AR8" s="763"/>
      <c r="AS8" s="1125"/>
      <c r="AU8" s="150"/>
      <c r="AV8" s="150" t="str">
        <f t="shared" si="0"/>
        <v/>
      </c>
      <c r="AW8" s="150"/>
      <c r="AX8" s="150"/>
      <c r="AY8" s="42">
        <v>0</v>
      </c>
    </row>
    <row r="9" ht="21" hidden="1" customHeight="1" spans="1:51">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35" t="s">
        <v>489</v>
      </c>
      <c r="AU9" s="150"/>
      <c r="AV9" s="150" t="str">
        <f t="shared" si="0"/>
        <v>Добавить значение признака дифференциации</v>
      </c>
      <c r="AW9" s="150"/>
      <c r="AX9" s="150"/>
      <c r="AY9" s="42">
        <v>0</v>
      </c>
    </row>
    <row r="10" ht="21" hidden="1" customHeight="1" spans="1:51">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06"/>
      <c r="AC10" s="106"/>
      <c r="AD10" s="106"/>
      <c r="AE10" s="106"/>
      <c r="AF10" s="146"/>
      <c r="AG10" s="106"/>
      <c r="AH10" s="106"/>
      <c r="AI10" s="106"/>
      <c r="AJ10" s="106"/>
      <c r="AK10" s="106"/>
      <c r="AL10" s="106"/>
      <c r="AM10" s="106"/>
      <c r="AN10" s="106"/>
      <c r="AO10" s="106"/>
      <c r="AP10" s="106"/>
      <c r="AQ10" s="146"/>
      <c r="AR10" s="106"/>
      <c r="AS10" s="1127"/>
      <c r="AU10" s="150"/>
      <c r="AV10" s="150" t="str">
        <f t="shared" si="0"/>
        <v>Добавить группу потребителей</v>
      </c>
      <c r="AW10" s="150"/>
      <c r="AX10" s="150"/>
      <c r="AY10" s="42">
        <v>0</v>
      </c>
    </row>
    <row r="11" ht="21" hidden="1" customHeight="1" spans="1:51">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06"/>
      <c r="AC11" s="106"/>
      <c r="AD11" s="106"/>
      <c r="AE11" s="106"/>
      <c r="AF11" s="146"/>
      <c r="AG11" s="106"/>
      <c r="AH11" s="106"/>
      <c r="AI11" s="106"/>
      <c r="AJ11" s="106"/>
      <c r="AK11" s="106"/>
      <c r="AL11" s="106"/>
      <c r="AM11" s="106"/>
      <c r="AN11" s="106"/>
      <c r="AO11" s="106"/>
      <c r="AP11" s="106"/>
      <c r="AQ11" s="146"/>
      <c r="AR11" s="106"/>
      <c r="AS11" s="147"/>
      <c r="AU11" s="150"/>
      <c r="AV11" s="150" t="str">
        <f t="shared" si="0"/>
        <v>Добавить наименование признака дифференциации</v>
      </c>
      <c r="AW11" s="150"/>
      <c r="AX11" s="150"/>
      <c r="AY11" s="42">
        <v>0</v>
      </c>
    </row>
    <row r="12" s="43" customFormat="1" hidden="1" customHeight="1" spans="1:51">
      <c r="A12" s="587"/>
      <c r="B12" s="587"/>
      <c r="C12" s="587"/>
      <c r="D12" s="587"/>
      <c r="E12" s="1039"/>
      <c r="F12" s="1038"/>
      <c r="G12" s="587"/>
      <c r="H12" s="587"/>
      <c r="I12" s="587"/>
      <c r="J12" s="587"/>
      <c r="K12" s="587"/>
      <c r="L12" s="608"/>
      <c r="M12" s="1045"/>
      <c r="N12" s="1045"/>
      <c r="P12" s="151"/>
      <c r="Q12" s="1068"/>
      <c r="R12" s="151"/>
      <c r="S12" s="1070"/>
      <c r="T12" s="1071" t="s">
        <v>251</v>
      </c>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U12" s="150"/>
      <c r="AV12" s="150" t="str">
        <f t="shared" si="0"/>
        <v>Добавить централизованную систему для дифференциации</v>
      </c>
      <c r="AW12" s="150"/>
      <c r="AX12" s="150"/>
      <c r="AY12" s="43">
        <v>0</v>
      </c>
    </row>
    <row r="13" s="43" customFormat="1" hidden="1" customHeight="1" spans="1:51">
      <c r="A13" s="587"/>
      <c r="B13" s="587"/>
      <c r="C13" s="587"/>
      <c r="D13" s="587"/>
      <c r="E13" s="1038"/>
      <c r="F13" s="587"/>
      <c r="G13" s="587"/>
      <c r="H13" s="587"/>
      <c r="I13" s="587"/>
      <c r="J13" s="587"/>
      <c r="K13" s="587"/>
      <c r="L13" s="608"/>
      <c r="M13" s="1045"/>
      <c r="N13" s="1045"/>
      <c r="P13" s="151"/>
      <c r="Q13" s="1068"/>
      <c r="R13" s="151"/>
      <c r="S13" s="1070"/>
      <c r="T13" s="1071" t="s">
        <v>252</v>
      </c>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U13" s="150"/>
      <c r="AV13" s="150" t="str">
        <f t="shared" si="0"/>
        <v>Добавить территорию для дифференциации</v>
      </c>
      <c r="AW13" s="150"/>
      <c r="AX13" s="150"/>
      <c r="AY13" s="43">
        <v>0</v>
      </c>
    </row>
    <row r="14" hidden="1" customHeight="1" spans="51:51">
      <c r="AY14" s="42">
        <v>0</v>
      </c>
    </row>
    <row r="15" hidden="1" customHeight="1" spans="33:51">
      <c r="AG15" s="489"/>
      <c r="AH15" s="489"/>
      <c r="AI15" s="489"/>
      <c r="AJ15" s="489"/>
      <c r="AK15" s="489"/>
      <c r="AL15" s="489"/>
      <c r="AM15" s="489"/>
      <c r="AN15" s="1119"/>
      <c r="AO15" s="352" t="s">
        <v>62</v>
      </c>
      <c r="AP15" s="1119"/>
      <c r="AQ15" s="352" t="s">
        <v>62</v>
      </c>
      <c r="AY15" s="42">
        <v>0</v>
      </c>
    </row>
    <row r="16" hidden="1" customHeight="1" spans="33:51">
      <c r="AG16" s="489"/>
      <c r="AH16" s="489"/>
      <c r="AI16" s="489"/>
      <c r="AJ16" s="489"/>
      <c r="AK16" s="489"/>
      <c r="AL16" s="489"/>
      <c r="AM16" s="489"/>
      <c r="AN16" s="352"/>
      <c r="AO16" s="352"/>
      <c r="AP16" s="352"/>
      <c r="AQ16" s="352"/>
      <c r="AY16" s="42">
        <v>0</v>
      </c>
    </row>
    <row r="17" hidden="1" customHeight="1" spans="51:51">
      <c r="AY17" s="42">
        <v>0</v>
      </c>
    </row>
    <row r="18" s="37" customFormat="1" ht="22.5" hidden="1" customHeight="1" spans="12:51">
      <c r="L18" s="47"/>
      <c r="M18" s="38"/>
      <c r="N18" s="38"/>
      <c r="O18" s="1046" t="s">
        <v>420</v>
      </c>
      <c r="P18" s="38"/>
      <c r="Q18" s="1037"/>
      <c r="R18" s="1037"/>
      <c r="S18" s="46"/>
      <c r="AC18" s="1046"/>
      <c r="AE18" s="1046"/>
      <c r="AN18" s="1046"/>
      <c r="AP18" s="1046"/>
      <c r="AT18" s="43"/>
      <c r="AU18" s="43"/>
      <c r="AV18" s="43"/>
      <c r="AW18" s="43"/>
      <c r="AX18" s="43"/>
      <c r="AY18" s="37">
        <v>0</v>
      </c>
    </row>
    <row r="19" s="37" customFormat="1" hidden="1" customHeight="1" spans="12:51">
      <c r="L19" s="47"/>
      <c r="M19" s="38"/>
      <c r="N19" s="38"/>
      <c r="O19" s="38"/>
      <c r="P19" s="38"/>
      <c r="Q19" s="1037"/>
      <c r="R19" s="1037"/>
      <c r="S19" s="46"/>
      <c r="AT19" s="43"/>
      <c r="AU19" s="43"/>
      <c r="AV19" s="43"/>
      <c r="AW19" s="43"/>
      <c r="AX19" s="43"/>
      <c r="AY19" s="37">
        <v>0</v>
      </c>
    </row>
    <row r="20" s="37" customFormat="1" ht="12" hidden="1" customHeight="1" spans="12:51">
      <c r="L20" s="47"/>
      <c r="M20" s="38"/>
      <c r="N20" s="38"/>
      <c r="O20" s="1040" t="s">
        <v>421</v>
      </c>
      <c r="P20" s="38"/>
      <c r="Q20" s="1115"/>
      <c r="R20" s="1115"/>
      <c r="S20" s="46"/>
      <c r="T20" s="37" t="s">
        <v>422</v>
      </c>
      <c r="AD20" s="44" t="s">
        <v>423</v>
      </c>
      <c r="AF20" s="44" t="s">
        <v>424</v>
      </c>
      <c r="AG20" s="37" t="s">
        <v>422</v>
      </c>
      <c r="AO20" s="44" t="s">
        <v>425</v>
      </c>
      <c r="AQ20" s="44" t="s">
        <v>424</v>
      </c>
      <c r="AY20" s="37">
        <v>0</v>
      </c>
    </row>
    <row r="21" hidden="1" customHeight="1" spans="15:51">
      <c r="O21" s="1040"/>
      <c r="AY21" s="42">
        <v>0</v>
      </c>
    </row>
    <row r="22" hidden="1" customHeight="1" spans="15:51">
      <c r="O22" s="1040"/>
      <c r="AY22" s="42">
        <v>0</v>
      </c>
    </row>
    <row r="23" ht="14.7" customHeight="1" spans="17:51">
      <c r="Q23" s="50"/>
      <c r="R23" s="50"/>
      <c r="S23" s="51"/>
      <c r="T23" s="52"/>
      <c r="U23" s="52"/>
      <c r="AY23" s="42">
        <v>14</v>
      </c>
    </row>
    <row r="24" ht="26.25" customHeight="1" spans="17:51">
      <c r="Q24" s="50"/>
      <c r="R24" s="50"/>
      <c r="S24" s="75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750"/>
      <c r="AJ24" s="750"/>
      <c r="AK24" s="750"/>
      <c r="AL24" s="750"/>
      <c r="AM24" s="750"/>
      <c r="AN24" s="750"/>
      <c r="AO24" s="750"/>
      <c r="AP24" s="750"/>
      <c r="AQ24" s="120"/>
      <c r="AY24" s="42">
        <v>25</v>
      </c>
    </row>
    <row r="25" ht="14.7" customHeight="1" spans="17:51">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657"/>
      <c r="AJ25" s="657"/>
      <c r="AK25" s="657"/>
      <c r="AL25" s="657"/>
      <c r="AM25" s="657"/>
      <c r="AN25" s="657"/>
      <c r="AO25" s="657"/>
      <c r="AP25" s="657"/>
      <c r="AQ25" s="120"/>
      <c r="AY25" s="42">
        <v>14</v>
      </c>
    </row>
    <row r="26" customHeight="1" spans="17:51">
      <c r="Q26" s="50"/>
      <c r="R26" s="50"/>
      <c r="S26" s="51"/>
      <c r="T26" s="52"/>
      <c r="U26" s="52"/>
      <c r="V26" s="55"/>
      <c r="W26" s="55"/>
      <c r="X26" s="55"/>
      <c r="Y26" s="55"/>
      <c r="Z26" s="55"/>
      <c r="AA26" s="55"/>
      <c r="AB26" s="55"/>
      <c r="AC26" s="55"/>
      <c r="AD26" s="55"/>
      <c r="AE26" s="55"/>
      <c r="AF26" s="55"/>
      <c r="AG26" s="55"/>
      <c r="AH26" s="55"/>
      <c r="AI26" s="55"/>
      <c r="AJ26" s="55"/>
      <c r="AK26" s="55"/>
      <c r="AL26" s="55"/>
      <c r="AM26" s="55"/>
      <c r="AN26" s="55"/>
      <c r="AO26" s="55"/>
      <c r="AP26" s="55"/>
      <c r="AQ26" s="55"/>
      <c r="AY26" s="42">
        <v>0</v>
      </c>
    </row>
    <row r="27" s="35" customFormat="1" ht="25.5" customHeight="1" spans="1:51">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РТ по тарифам</v>
      </c>
      <c r="W27" s="59"/>
      <c r="X27" s="59"/>
      <c r="Y27" s="59"/>
      <c r="Z27" s="59"/>
      <c r="AA27" s="59"/>
      <c r="AB27" s="59"/>
      <c r="AC27" s="59"/>
      <c r="AD27" s="59"/>
      <c r="AE27" s="59"/>
      <c r="AF27" s="42"/>
      <c r="AG27" s="59" t="str">
        <f>IF(TITLE_NAME_OR_PR_CHANGE="",IF(TITLE_NAME_OR_PR="","",TITLE_NAME_OR_PR),TITLE_NAME_OR_PR_CHANGE)</f>
        <v>Государственный комитет РТ по тарифам</v>
      </c>
      <c r="AH27" s="59"/>
      <c r="AI27" s="59"/>
      <c r="AJ27" s="59"/>
      <c r="AK27" s="59"/>
      <c r="AL27" s="59"/>
      <c r="AM27" s="59"/>
      <c r="AN27" s="59"/>
      <c r="AO27" s="59"/>
      <c r="AP27" s="59"/>
      <c r="AQ27" s="42"/>
      <c r="AR27" s="42"/>
      <c r="AS27" s="121"/>
      <c r="AT27" s="150"/>
      <c r="AU27" s="150"/>
      <c r="AV27" s="150"/>
      <c r="AW27" s="150"/>
      <c r="AX27" s="150"/>
      <c r="AY27" s="35">
        <v>0</v>
      </c>
    </row>
    <row r="28" s="35" customFormat="1" ht="18.75" customHeight="1" spans="1:51">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788"/>
      <c r="AC28" s="788"/>
      <c r="AD28" s="788"/>
      <c r="AE28" s="788"/>
      <c r="AF28" s="42"/>
      <c r="AG28" s="788">
        <f>IF(TITLE_DATE_PR_CHANGE="",IF(TITLE_DATE_PR="","",TITLE_DATE_PR),TITLE_DATE_PR_CHANGE)</f>
        <v>45525</v>
      </c>
      <c r="AH28" s="788"/>
      <c r="AI28" s="788"/>
      <c r="AJ28" s="788"/>
      <c r="AK28" s="788"/>
      <c r="AL28" s="788"/>
      <c r="AM28" s="788"/>
      <c r="AN28" s="788"/>
      <c r="AO28" s="788"/>
      <c r="AP28" s="788"/>
      <c r="AQ28" s="42"/>
      <c r="AR28" s="42"/>
      <c r="AS28" s="121"/>
      <c r="AT28" s="150"/>
      <c r="AU28" s="150"/>
      <c r="AV28" s="150"/>
      <c r="AW28" s="150"/>
      <c r="AX28" s="150"/>
      <c r="AY28" s="35">
        <v>0</v>
      </c>
    </row>
    <row r="29" s="35" customFormat="1" ht="18.75" customHeight="1" spans="1:51">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108-73/тп-2024</v>
      </c>
      <c r="W29" s="59"/>
      <c r="X29" s="59"/>
      <c r="Y29" s="59"/>
      <c r="Z29" s="59"/>
      <c r="AA29" s="59"/>
      <c r="AB29" s="59"/>
      <c r="AC29" s="59"/>
      <c r="AD29" s="59"/>
      <c r="AE29" s="59"/>
      <c r="AF29" s="42"/>
      <c r="AG29" s="59" t="str">
        <f>IF(TITLE_NUMBER_PR_CHANGE="",IF(TITLE_NUMBER_PR="","",TITLE_NUMBER_PR),TITLE_NUMBER_PR_CHANGE)</f>
        <v>108-73/тп-2024</v>
      </c>
      <c r="AH29" s="59"/>
      <c r="AI29" s="59"/>
      <c r="AJ29" s="59"/>
      <c r="AK29" s="59"/>
      <c r="AL29" s="59"/>
      <c r="AM29" s="59"/>
      <c r="AN29" s="59"/>
      <c r="AO29" s="59"/>
      <c r="AP29" s="59"/>
      <c r="AQ29" s="42"/>
      <c r="AR29" s="42"/>
      <c r="AS29" s="121"/>
      <c r="AT29" s="150"/>
      <c r="AU29" s="150"/>
      <c r="AV29" s="150"/>
      <c r="AW29" s="150"/>
      <c r="AX29" s="150"/>
      <c r="AY29" s="35">
        <v>0</v>
      </c>
    </row>
    <row r="30" s="35" customFormat="1" ht="18.75" customHeight="1" spans="1:51">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
Республики Татарстан"</v>
      </c>
      <c r="W30" s="59"/>
      <c r="X30" s="59"/>
      <c r="Y30" s="59"/>
      <c r="Z30" s="59"/>
      <c r="AA30" s="59"/>
      <c r="AB30" s="59"/>
      <c r="AC30" s="59"/>
      <c r="AD30" s="59"/>
      <c r="AE30" s="59"/>
      <c r="AF30" s="42"/>
      <c r="AG30" s="59" t="str">
        <f>IF(TITLE_IST_PUB_CHANGE="",IF(TITLE_IST_PUB="","",TITLE_IST_PUB),TITLE_IST_PUB_CHANGE)</f>
        <v>"Официальный портал правовой информации
Республики Татарстан"</v>
      </c>
      <c r="AH30" s="59"/>
      <c r="AI30" s="59"/>
      <c r="AJ30" s="59"/>
      <c r="AK30" s="59"/>
      <c r="AL30" s="59"/>
      <c r="AM30" s="59"/>
      <c r="AN30" s="59"/>
      <c r="AO30" s="59"/>
      <c r="AP30" s="59"/>
      <c r="AQ30" s="42"/>
      <c r="AR30" s="42"/>
      <c r="AS30" s="121"/>
      <c r="AT30" s="150"/>
      <c r="AU30" s="150"/>
      <c r="AV30" s="150"/>
      <c r="AW30" s="150"/>
      <c r="AX30" s="150"/>
      <c r="AY30" s="35">
        <v>0</v>
      </c>
    </row>
    <row r="31" hidden="1" customHeight="1" spans="17:51">
      <c r="Q31" s="50"/>
      <c r="R31" s="50"/>
      <c r="S31" s="51"/>
      <c r="T31" s="52"/>
      <c r="U31" s="52"/>
      <c r="V31" s="55"/>
      <c r="W31" s="55"/>
      <c r="X31" s="55"/>
      <c r="Y31" s="55"/>
      <c r="Z31" s="55"/>
      <c r="AA31" s="55"/>
      <c r="AB31" s="55"/>
      <c r="AC31" s="55"/>
      <c r="AD31" s="55"/>
      <c r="AE31" s="55"/>
      <c r="AF31" s="55"/>
      <c r="AG31" s="55"/>
      <c r="AH31" s="55"/>
      <c r="AI31" s="55"/>
      <c r="AJ31" s="55"/>
      <c r="AK31" s="55"/>
      <c r="AL31" s="55"/>
      <c r="AM31" s="55"/>
      <c r="AN31" s="55"/>
      <c r="AO31" s="55"/>
      <c r="AP31" s="55"/>
      <c r="AQ31" s="55"/>
      <c r="AY31" s="42">
        <v>0</v>
      </c>
    </row>
    <row r="32" s="35" customFormat="1" ht="18.75" hidden="1" customHeight="1" spans="1:51">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788"/>
      <c r="AC32" s="788"/>
      <c r="AD32" s="788"/>
      <c r="AE32" s="788"/>
      <c r="AF32" s="42"/>
      <c r="AG32" s="788">
        <f>IF(TITLE_DATE_PR_CHANGE="",IF(TITLE_DATE_PR="","",TITLE_DATE_PR),TITLE_DATE_PR_CHANGE)</f>
        <v>45525</v>
      </c>
      <c r="AH32" s="788"/>
      <c r="AI32" s="788"/>
      <c r="AJ32" s="788"/>
      <c r="AK32" s="788"/>
      <c r="AL32" s="788"/>
      <c r="AM32" s="788"/>
      <c r="AN32" s="788"/>
      <c r="AO32" s="788"/>
      <c r="AP32" s="788"/>
      <c r="AQ32" s="42"/>
      <c r="AR32" s="42"/>
      <c r="AS32" s="121"/>
      <c r="AT32" s="150"/>
      <c r="AU32" s="150"/>
      <c r="AV32" s="150"/>
      <c r="AW32" s="150"/>
      <c r="AX32" s="150"/>
      <c r="AY32" s="35">
        <v>0</v>
      </c>
    </row>
    <row r="33" s="35" customFormat="1" ht="18.75" hidden="1" customHeight="1" spans="1:51">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108-73/тп-2024</v>
      </c>
      <c r="W33" s="59"/>
      <c r="X33" s="59"/>
      <c r="Y33" s="59"/>
      <c r="Z33" s="59"/>
      <c r="AA33" s="59"/>
      <c r="AB33" s="59"/>
      <c r="AC33" s="59"/>
      <c r="AD33" s="59"/>
      <c r="AE33" s="59"/>
      <c r="AF33" s="42"/>
      <c r="AG33" s="59" t="str">
        <f>IF(TITLE_NUMBER_PR_CHANGE="",IF(TITLE_NUMBER_PR="","",TITLE_NUMBER_PR),TITLE_NUMBER_PR_CHANGE)</f>
        <v>108-73/тп-2024</v>
      </c>
      <c r="AH33" s="59"/>
      <c r="AI33" s="59"/>
      <c r="AJ33" s="59"/>
      <c r="AK33" s="59"/>
      <c r="AL33" s="59"/>
      <c r="AM33" s="59"/>
      <c r="AN33" s="59"/>
      <c r="AO33" s="59"/>
      <c r="AP33" s="59"/>
      <c r="AQ33" s="42"/>
      <c r="AR33" s="42"/>
      <c r="AS33" s="121"/>
      <c r="AT33" s="150"/>
      <c r="AU33" s="150"/>
      <c r="AV33" s="150"/>
      <c r="AW33" s="150"/>
      <c r="AX33" s="150"/>
      <c r="AY33" s="35">
        <v>0</v>
      </c>
    </row>
    <row r="34" s="35" customFormat="1" ht="1.05" customHeight="1" spans="1:51">
      <c r="A34" s="44"/>
      <c r="B34" s="44"/>
      <c r="C34" s="44"/>
      <c r="D34" s="44"/>
      <c r="E34" s="44"/>
      <c r="F34" s="44"/>
      <c r="G34" s="44"/>
      <c r="H34" s="44"/>
      <c r="I34" s="44"/>
      <c r="J34" s="44"/>
      <c r="K34" s="44"/>
      <c r="L34" s="1040"/>
      <c r="M34" s="44"/>
      <c r="N34" s="44"/>
      <c r="O34" s="44"/>
      <c r="S34" s="42"/>
      <c r="T34" s="42"/>
      <c r="U34" s="60"/>
      <c r="V34" s="42"/>
      <c r="W34" s="42"/>
      <c r="X34" s="42"/>
      <c r="Y34" s="42"/>
      <c r="Z34" s="42"/>
      <c r="AA34" s="42"/>
      <c r="AB34" s="42"/>
      <c r="AC34" s="42"/>
      <c r="AD34" s="42"/>
      <c r="AE34" s="42"/>
      <c r="AF34" s="43" t="s">
        <v>430</v>
      </c>
      <c r="AG34" s="42"/>
      <c r="AH34" s="42"/>
      <c r="AI34" s="42"/>
      <c r="AJ34" s="42"/>
      <c r="AK34" s="42"/>
      <c r="AL34" s="42"/>
      <c r="AM34" s="42"/>
      <c r="AN34" s="42"/>
      <c r="AO34" s="42"/>
      <c r="AP34" s="42"/>
      <c r="AQ34" s="43" t="s">
        <v>430</v>
      </c>
      <c r="AT34" s="150"/>
      <c r="AU34" s="150"/>
      <c r="AV34" s="150"/>
      <c r="AW34" s="150"/>
      <c r="AX34" s="150"/>
      <c r="AY34" s="35">
        <v>1</v>
      </c>
    </row>
    <row r="35" ht="14.7" customHeight="1" spans="17:51">
      <c r="Q35" s="50"/>
      <c r="R35" s="50"/>
      <c r="S35" s="51"/>
      <c r="T35" s="52"/>
      <c r="U35" s="61"/>
      <c r="V35" s="62"/>
      <c r="W35" s="62"/>
      <c r="X35" s="62"/>
      <c r="Y35" s="62"/>
      <c r="Z35" s="62"/>
      <c r="AA35" s="62"/>
      <c r="AB35" s="62"/>
      <c r="AC35" s="62"/>
      <c r="AD35" s="62"/>
      <c r="AE35" s="62"/>
      <c r="AF35" s="62"/>
      <c r="AG35" s="62"/>
      <c r="AH35" s="62"/>
      <c r="AI35" s="62"/>
      <c r="AJ35" s="62"/>
      <c r="AK35" s="62"/>
      <c r="AL35" s="62"/>
      <c r="AM35" s="62"/>
      <c r="AN35" s="62"/>
      <c r="AO35" s="62"/>
      <c r="AP35" s="62"/>
      <c r="AQ35" s="62"/>
      <c r="AY35" s="42">
        <v>14</v>
      </c>
    </row>
    <row r="36" ht="14.7" customHeight="1" spans="17:51">
      <c r="Q36" s="50"/>
      <c r="R36" s="50"/>
      <c r="S36" s="63" t="s">
        <v>305</v>
      </c>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t="s">
        <v>306</v>
      </c>
      <c r="AY36" s="42">
        <v>14</v>
      </c>
    </row>
    <row r="37" ht="14.7" customHeight="1" spans="17:51">
      <c r="Q37" s="50"/>
      <c r="R37" s="50"/>
      <c r="S37" s="64" t="s">
        <v>89</v>
      </c>
      <c r="T37" s="65" t="s">
        <v>431</v>
      </c>
      <c r="U37" s="66"/>
      <c r="V37" s="67" t="s">
        <v>432</v>
      </c>
      <c r="W37" s="1085"/>
      <c r="X37" s="1085"/>
      <c r="Y37" s="1085"/>
      <c r="Z37" s="1085"/>
      <c r="AA37" s="1085"/>
      <c r="AB37" s="1085"/>
      <c r="AC37" s="68"/>
      <c r="AD37" s="68"/>
      <c r="AE37" s="122"/>
      <c r="AF37" s="123" t="s">
        <v>433</v>
      </c>
      <c r="AG37" s="67" t="s">
        <v>432</v>
      </c>
      <c r="AH37" s="68"/>
      <c r="AI37" s="68"/>
      <c r="AJ37" s="68"/>
      <c r="AK37" s="68"/>
      <c r="AL37" s="68"/>
      <c r="AM37" s="68"/>
      <c r="AN37" s="68"/>
      <c r="AO37" s="68"/>
      <c r="AP37" s="122"/>
      <c r="AQ37" s="123" t="s">
        <v>434</v>
      </c>
      <c r="AR37" s="124" t="s">
        <v>435</v>
      </c>
      <c r="AS37" s="63"/>
      <c r="AY37" s="42">
        <v>14</v>
      </c>
    </row>
    <row r="38" ht="19.95" customHeight="1" spans="17:51">
      <c r="Q38" s="50"/>
      <c r="R38" s="50"/>
      <c r="S38" s="64"/>
      <c r="T38" s="65"/>
      <c r="U38" s="69"/>
      <c r="V38" s="63" t="s">
        <v>542</v>
      </c>
      <c r="W38" s="1116" t="s">
        <v>543</v>
      </c>
      <c r="X38" s="1116"/>
      <c r="Y38" s="1116"/>
      <c r="Z38" s="1116" t="s">
        <v>544</v>
      </c>
      <c r="AA38" s="1116"/>
      <c r="AB38" s="1116"/>
      <c r="AC38" s="892" t="s">
        <v>439</v>
      </c>
      <c r="AD38" s="1086"/>
      <c r="AE38" s="893"/>
      <c r="AF38" s="128"/>
      <c r="AG38" s="63" t="s">
        <v>542</v>
      </c>
      <c r="AH38" s="1116" t="s">
        <v>543</v>
      </c>
      <c r="AI38" s="1116"/>
      <c r="AJ38" s="1116"/>
      <c r="AK38" s="1116" t="s">
        <v>544</v>
      </c>
      <c r="AL38" s="1116"/>
      <c r="AM38" s="1116"/>
      <c r="AN38" s="892" t="s">
        <v>439</v>
      </c>
      <c r="AO38" s="1086"/>
      <c r="AP38" s="893"/>
      <c r="AQ38" s="128"/>
      <c r="AR38" s="129"/>
      <c r="AS38" s="63"/>
      <c r="AY38" s="42">
        <v>19</v>
      </c>
    </row>
    <row r="39" s="42" customFormat="1" ht="19.95" customHeight="1" spans="1:51">
      <c r="A39" s="37"/>
      <c r="B39" s="37"/>
      <c r="C39" s="37"/>
      <c r="D39" s="37"/>
      <c r="E39" s="37"/>
      <c r="F39" s="37"/>
      <c r="G39" s="37"/>
      <c r="H39" s="37"/>
      <c r="I39" s="37"/>
      <c r="J39" s="37"/>
      <c r="K39" s="37"/>
      <c r="L39" s="47"/>
      <c r="M39" s="38"/>
      <c r="N39" s="38"/>
      <c r="O39" s="38"/>
      <c r="P39" s="39"/>
      <c r="Q39" s="50"/>
      <c r="R39" s="50"/>
      <c r="S39" s="64"/>
      <c r="T39" s="65"/>
      <c r="U39" s="69"/>
      <c r="V39" s="63"/>
      <c r="W39" s="1116" t="s">
        <v>545</v>
      </c>
      <c r="X39" s="1116" t="s">
        <v>546</v>
      </c>
      <c r="Y39" s="1116"/>
      <c r="Z39" s="1116" t="s">
        <v>547</v>
      </c>
      <c r="AA39" s="1116" t="s">
        <v>546</v>
      </c>
      <c r="AB39" s="1116"/>
      <c r="AC39" s="896"/>
      <c r="AD39" s="1089"/>
      <c r="AE39" s="897"/>
      <c r="AF39" s="128"/>
      <c r="AG39" s="63"/>
      <c r="AH39" s="1116" t="s">
        <v>545</v>
      </c>
      <c r="AI39" s="1116" t="s">
        <v>546</v>
      </c>
      <c r="AJ39" s="1116"/>
      <c r="AK39" s="1116" t="s">
        <v>547</v>
      </c>
      <c r="AL39" s="1116" t="s">
        <v>546</v>
      </c>
      <c r="AM39" s="1116"/>
      <c r="AN39" s="896"/>
      <c r="AO39" s="1089"/>
      <c r="AP39" s="897"/>
      <c r="AQ39" s="128"/>
      <c r="AR39" s="129"/>
      <c r="AS39" s="63"/>
      <c r="AT39" s="43"/>
      <c r="AU39" s="43"/>
      <c r="AV39" s="43"/>
      <c r="AW39" s="43"/>
      <c r="AX39" s="43"/>
      <c r="AY39" s="42">
        <v>19</v>
      </c>
    </row>
    <row r="40" ht="61.95" customHeight="1" spans="1:51">
      <c r="A40" s="44"/>
      <c r="B40" s="44" t="s">
        <v>137</v>
      </c>
      <c r="C40" s="44" t="s">
        <v>138</v>
      </c>
      <c r="D40" s="44" t="s">
        <v>139</v>
      </c>
      <c r="E40" s="1040" t="s">
        <v>440</v>
      </c>
      <c r="F40" s="1040" t="s">
        <v>441</v>
      </c>
      <c r="G40" s="1040" t="s">
        <v>442</v>
      </c>
      <c r="H40" s="1040"/>
      <c r="I40" s="1040" t="s">
        <v>492</v>
      </c>
      <c r="J40" s="1040" t="s">
        <v>445</v>
      </c>
      <c r="K40" s="1040" t="s">
        <v>493</v>
      </c>
      <c r="L40" s="1040" t="s">
        <v>421</v>
      </c>
      <c r="Q40" s="50"/>
      <c r="R40" s="50"/>
      <c r="S40" s="64"/>
      <c r="T40" s="65"/>
      <c r="U40" s="71"/>
      <c r="V40" s="63"/>
      <c r="W40" s="1116"/>
      <c r="X40" s="1116" t="s">
        <v>548</v>
      </c>
      <c r="Y40" s="1116" t="s">
        <v>549</v>
      </c>
      <c r="Z40" s="1116"/>
      <c r="AA40" s="1116" t="s">
        <v>550</v>
      </c>
      <c r="AB40" s="1116" t="s">
        <v>551</v>
      </c>
      <c r="AC40" s="130" t="s">
        <v>449</v>
      </c>
      <c r="AD40" s="131" t="s">
        <v>450</v>
      </c>
      <c r="AE40" s="132"/>
      <c r="AF40" s="133"/>
      <c r="AG40" s="63"/>
      <c r="AH40" s="1116"/>
      <c r="AI40" s="1116" t="s">
        <v>548</v>
      </c>
      <c r="AJ40" s="1116" t="s">
        <v>549</v>
      </c>
      <c r="AK40" s="1116"/>
      <c r="AL40" s="1116" t="s">
        <v>550</v>
      </c>
      <c r="AM40" s="1116" t="s">
        <v>551</v>
      </c>
      <c r="AN40" s="130" t="s">
        <v>449</v>
      </c>
      <c r="AO40" s="131" t="s">
        <v>450</v>
      </c>
      <c r="AP40" s="132"/>
      <c r="AQ40" s="133"/>
      <c r="AR40" s="134"/>
      <c r="AS40" s="63"/>
      <c r="AY40" s="42">
        <v>59</v>
      </c>
    </row>
    <row r="41" s="36" customFormat="1" ht="11.25" hidden="1" customHeight="1" spans="1:51">
      <c r="A41" s="44"/>
      <c r="B41" s="44"/>
      <c r="C41" s="44"/>
      <c r="D41" s="44"/>
      <c r="E41" s="44"/>
      <c r="F41" s="44"/>
      <c r="G41" s="44"/>
      <c r="H41" s="44"/>
      <c r="I41" s="44"/>
      <c r="J41" s="44"/>
      <c r="K41" s="44"/>
      <c r="L41" s="1040"/>
      <c r="M41" s="38"/>
      <c r="N41" s="38"/>
      <c r="O41" s="38"/>
      <c r="P41" s="73"/>
      <c r="Q41" s="74"/>
      <c r="R41" s="75">
        <v>1</v>
      </c>
      <c r="S41" s="76" t="s">
        <v>111</v>
      </c>
      <c r="T41" s="77" t="s">
        <v>112</v>
      </c>
      <c r="U41" s="78" t="str">
        <f ca="1">OFFSET(U41,0,-1)</f>
        <v>2</v>
      </c>
      <c r="V41" s="79">
        <f ca="1">OFFSET(V41,0,-1)+1</f>
        <v>3</v>
      </c>
      <c r="W41" s="1128"/>
      <c r="X41" s="1128"/>
      <c r="Y41" s="1128"/>
      <c r="Z41" s="1128"/>
      <c r="AA41" s="1128"/>
      <c r="AB41" s="1128"/>
      <c r="AC41" s="79">
        <f ca="1">OFFSET(AC41,0,-1)+1</f>
        <v>1</v>
      </c>
      <c r="AD41" s="79">
        <f ca="1">OFFSET(AD41,0,-1)+1</f>
        <v>2</v>
      </c>
      <c r="AE41" s="79"/>
      <c r="AF41" s="79">
        <f ca="1">OFFSET(AF41,0,-2)+1</f>
        <v>3</v>
      </c>
      <c r="AG41" s="79">
        <f ca="1">OFFSET(AG41,0,-1)+1</f>
        <v>4</v>
      </c>
      <c r="AH41" s="79"/>
      <c r="AI41" s="79"/>
      <c r="AJ41" s="79"/>
      <c r="AK41" s="79"/>
      <c r="AL41" s="79"/>
      <c r="AM41" s="79">
        <f ca="1">OFFSET(AM41,0,-1)+1</f>
        <v>1</v>
      </c>
      <c r="AN41" s="79">
        <f ca="1">OFFSET(AN41,0,-1)+1</f>
        <v>2</v>
      </c>
      <c r="AO41" s="79">
        <f ca="1">OFFSET(AO41,0,-1)+1</f>
        <v>3</v>
      </c>
      <c r="AP41" s="79"/>
      <c r="AQ41" s="79">
        <f ca="1">OFFSET(AQ41,0,-2)+1</f>
        <v>4</v>
      </c>
      <c r="AR41" s="78">
        <f ca="1">OFFSET(AR41,0,-1)</f>
        <v>4</v>
      </c>
      <c r="AS41" s="79">
        <f ca="1">OFFSET(AS41,0,-1)+1</f>
        <v>5</v>
      </c>
      <c r="AT41" s="43"/>
      <c r="AU41" s="43"/>
      <c r="AV41" s="43"/>
      <c r="AW41" s="43"/>
      <c r="AX41" s="43"/>
      <c r="AY41" s="36">
        <v>0</v>
      </c>
    </row>
    <row r="42" ht="24" customHeight="1" spans="1:51">
      <c r="A42" s="45" t="s">
        <v>256</v>
      </c>
      <c r="B42" s="45"/>
      <c r="C42" s="45"/>
      <c r="D42" s="45"/>
      <c r="E42" s="1038">
        <v>1</v>
      </c>
      <c r="F42" s="45"/>
      <c r="G42" s="45"/>
      <c r="H42" s="45"/>
      <c r="I42" s="45"/>
      <c r="J42" s="45"/>
      <c r="K42" s="45"/>
      <c r="L42" s="1040"/>
      <c r="M42" s="46"/>
      <c r="N42" s="46"/>
      <c r="O42" s="46"/>
      <c r="Q42" s="80"/>
      <c r="R42" s="81"/>
      <c r="S42" s="64">
        <f>INDEX(PT_DIFFERENTIATION_NUM_NTAR,MATCH(A42,PT_DIFFERENTIATION_NTAR_ID,0))</f>
        <v>0</v>
      </c>
      <c r="T42" s="82" t="s">
        <v>125</v>
      </c>
      <c r="U42" s="83"/>
      <c r="V42" s="1076"/>
      <c r="W42" s="1047"/>
      <c r="X42" s="1047"/>
      <c r="Y42" s="1047"/>
      <c r="Z42" s="1047"/>
      <c r="AA42" s="1047"/>
      <c r="AB42" s="1047"/>
      <c r="AC42" s="1047"/>
      <c r="AD42" s="1047"/>
      <c r="AE42" s="1047"/>
      <c r="AF42" s="1075"/>
      <c r="AG42" s="1076" t="str">
        <f>INDEX(PT_DIFFERENTIATION_NTAR,MATCH(A42,PT_DIFFERENTIATION_NTAR_ID,0))</f>
        <v/>
      </c>
      <c r="AH42" s="1047"/>
      <c r="AI42" s="1047"/>
      <c r="AJ42" s="1047"/>
      <c r="AK42" s="1047"/>
      <c r="AL42" s="1047"/>
      <c r="AM42" s="1047"/>
      <c r="AN42" s="1047"/>
      <c r="AO42" s="1047"/>
      <c r="AP42" s="1047"/>
      <c r="AQ42" s="1047"/>
      <c r="AR42" s="1075"/>
      <c r="AS4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150"/>
      <c r="AV42" s="150" t="str">
        <f t="shared" ref="AV42:AV54" si="1">IF(T42="","",T42)</f>
        <v>Наименование тарифа</v>
      </c>
      <c r="AW42" s="150"/>
      <c r="AX42" s="150"/>
      <c r="AY42" s="42">
        <v>23</v>
      </c>
    </row>
    <row r="43" ht="24" customHeight="1" spans="1:51">
      <c r="A43" s="45" t="s">
        <v>256</v>
      </c>
      <c r="B43" s="45" t="s">
        <v>257</v>
      </c>
      <c r="C43" s="45"/>
      <c r="D43" s="45"/>
      <c r="E43" s="1039"/>
      <c r="F43" s="1038">
        <v>1</v>
      </c>
      <c r="G43" s="45"/>
      <c r="H43" s="45"/>
      <c r="I43" s="45"/>
      <c r="J43" s="45"/>
      <c r="K43" s="45"/>
      <c r="L43" s="1040"/>
      <c r="M43" s="46"/>
      <c r="N43" s="46"/>
      <c r="O43" s="46"/>
      <c r="P43" s="85"/>
      <c r="Q43" s="86"/>
      <c r="R43" s="87"/>
      <c r="S43" s="64" t="str">
        <f>INDEX(PT_DIFFERENTIATION_NUM_TER,MATCH(B43,PT_DIFFERENTIATION_TER_ID,0))</f>
        <v>.</v>
      </c>
      <c r="T43" s="88" t="s">
        <v>402</v>
      </c>
      <c r="U43" s="83"/>
      <c r="V43" s="1076"/>
      <c r="W43" s="1047"/>
      <c r="X43" s="1047"/>
      <c r="Y43" s="1047"/>
      <c r="Z43" s="1047"/>
      <c r="AA43" s="1047"/>
      <c r="AB43" s="1047"/>
      <c r="AC43" s="1047"/>
      <c r="AD43" s="1047"/>
      <c r="AE43" s="1047"/>
      <c r="AF43" s="1075"/>
      <c r="AG43" s="1076" t="str">
        <f>INDEX(PT_DIFFERENTIATION_TER,MATCH(B43,PT_DIFFERENTIATION_TER_ID,0))</f>
        <v/>
      </c>
      <c r="AH43" s="1047"/>
      <c r="AI43" s="1047"/>
      <c r="AJ43" s="1047"/>
      <c r="AK43" s="1047"/>
      <c r="AL43" s="1047"/>
      <c r="AM43" s="1047"/>
      <c r="AN43" s="1047"/>
      <c r="AO43" s="1047"/>
      <c r="AP43" s="1047"/>
      <c r="AQ43" s="1047"/>
      <c r="AR43" s="1075"/>
      <c r="AS43" s="135" t="s">
        <v>403</v>
      </c>
      <c r="AU43" s="150"/>
      <c r="AV43" s="150" t="str">
        <f t="shared" si="1"/>
        <v>Территория действия тарифа</v>
      </c>
      <c r="AW43" s="150"/>
      <c r="AX43" s="150"/>
      <c r="AY43" s="42">
        <v>23</v>
      </c>
    </row>
    <row r="44" ht="24" customHeight="1" spans="1:51">
      <c r="A44" s="45" t="s">
        <v>256</v>
      </c>
      <c r="B44" s="45" t="s">
        <v>257</v>
      </c>
      <c r="C44" s="45" t="s">
        <v>258</v>
      </c>
      <c r="D44" s="45"/>
      <c r="E44" s="1039"/>
      <c r="F44" s="1039"/>
      <c r="G44" s="1038">
        <v>1</v>
      </c>
      <c r="H44" s="45"/>
      <c r="I44" s="45"/>
      <c r="J44" s="45"/>
      <c r="K44" s="45"/>
      <c r="L44" s="1040"/>
      <c r="M44" s="46"/>
      <c r="N44" s="46"/>
      <c r="O44" s="46"/>
      <c r="P44" s="89"/>
      <c r="Q44" s="86"/>
      <c r="R44" s="87"/>
      <c r="S44" s="64" t="str">
        <f>INDEX(PT_DIFFERENTIATION_NUM_CS,MATCH(C44,PT_DIFFERENTIATION_CS_ID,0))</f>
        <v>..</v>
      </c>
      <c r="T44" s="90" t="s">
        <v>540</v>
      </c>
      <c r="U44" s="83"/>
      <c r="V44" s="1076"/>
      <c r="W44" s="1047"/>
      <c r="X44" s="1047"/>
      <c r="Y44" s="1047"/>
      <c r="Z44" s="1047"/>
      <c r="AA44" s="1047"/>
      <c r="AB44" s="1047"/>
      <c r="AC44" s="1047"/>
      <c r="AD44" s="1047"/>
      <c r="AE44" s="1047"/>
      <c r="AF44" s="1075"/>
      <c r="AG44" s="1076" t="str">
        <f>INDEX(PT_DIFFERENTIATION_CS,MATCH(C44,PT_DIFFERENTIATION_CS_ID,0))</f>
        <v/>
      </c>
      <c r="AH44" s="1047"/>
      <c r="AI44" s="1047"/>
      <c r="AJ44" s="1047"/>
      <c r="AK44" s="1047"/>
      <c r="AL44" s="1047"/>
      <c r="AM44" s="1047"/>
      <c r="AN44" s="1047"/>
      <c r="AO44" s="1047"/>
      <c r="AP44" s="1047"/>
      <c r="AQ44" s="1047"/>
      <c r="AR44" s="1075"/>
      <c r="AS44" s="135" t="s">
        <v>541</v>
      </c>
      <c r="AU44" s="150"/>
      <c r="AV44" s="150" t="str">
        <f t="shared" si="1"/>
        <v>Наименование централизованной системы горячего водоснабжения</v>
      </c>
      <c r="AW44" s="150"/>
      <c r="AX44" s="150"/>
      <c r="AY44" s="42">
        <v>23</v>
      </c>
    </row>
    <row r="45" ht="24" customHeight="1" spans="1:51">
      <c r="A45" s="45" t="s">
        <v>256</v>
      </c>
      <c r="B45" s="45" t="s">
        <v>257</v>
      </c>
      <c r="C45" s="45" t="s">
        <v>258</v>
      </c>
      <c r="D45" s="45" t="s">
        <v>552</v>
      </c>
      <c r="E45" s="1039"/>
      <c r="F45" s="1039"/>
      <c r="G45" s="1039"/>
      <c r="H45" s="1039"/>
      <c r="I45" s="228" t="str">
        <f>S44&amp;".1"</f>
        <v>...1</v>
      </c>
      <c r="J45" s="45"/>
      <c r="K45" s="45"/>
      <c r="L45" s="1040"/>
      <c r="P45" s="92">
        <v>1</v>
      </c>
      <c r="Q45" s="92"/>
      <c r="R45" s="93"/>
      <c r="S45" s="64" t="str">
        <f>$I45</f>
        <v>...1</v>
      </c>
      <c r="T45" s="94" t="s">
        <v>485</v>
      </c>
      <c r="U45" s="83"/>
      <c r="V45" s="1112"/>
      <c r="W45" s="1113"/>
      <c r="X45" s="1113"/>
      <c r="Y45" s="1113"/>
      <c r="Z45" s="1113"/>
      <c r="AA45" s="1113"/>
      <c r="AB45" s="1113"/>
      <c r="AC45" s="1113"/>
      <c r="AD45" s="1113"/>
      <c r="AE45" s="1113"/>
      <c r="AF45" s="1117"/>
      <c r="AG45" s="821"/>
      <c r="AH45" s="1120"/>
      <c r="AI45" s="1120"/>
      <c r="AJ45" s="1120"/>
      <c r="AK45" s="1120"/>
      <c r="AL45" s="1120"/>
      <c r="AM45" s="1120"/>
      <c r="AN45" s="1120"/>
      <c r="AO45" s="1120"/>
      <c r="AP45" s="1120"/>
      <c r="AQ45" s="1120"/>
      <c r="AR45" s="1121"/>
      <c r="AS45" s="135" t="s">
        <v>486</v>
      </c>
      <c r="AU45" s="150"/>
      <c r="AV45" s="150" t="str">
        <f t="shared" si="1"/>
        <v>Наименование признака дифференциации</v>
      </c>
      <c r="AW45" s="150"/>
      <c r="AX45" s="150"/>
      <c r="AY45" s="42">
        <v>23</v>
      </c>
    </row>
    <row r="46" ht="24" customHeight="1" spans="1:51">
      <c r="A46" s="45" t="s">
        <v>256</v>
      </c>
      <c r="B46" s="45" t="s">
        <v>257</v>
      </c>
      <c r="C46" s="45" t="s">
        <v>258</v>
      </c>
      <c r="D46" s="45" t="s">
        <v>552</v>
      </c>
      <c r="E46" s="1039"/>
      <c r="F46" s="1039"/>
      <c r="G46" s="1039"/>
      <c r="H46" s="1039"/>
      <c r="I46" s="1044"/>
      <c r="J46" s="228" t="str">
        <f>I45&amp;".1"</f>
        <v>...1.1</v>
      </c>
      <c r="K46" s="45"/>
      <c r="L46" s="1040" t="s">
        <v>411</v>
      </c>
      <c r="P46" s="92"/>
      <c r="Q46" s="92">
        <v>1</v>
      </c>
      <c r="R46" s="96"/>
      <c r="S46" s="64" t="str">
        <f>$J46</f>
        <v>...1.1</v>
      </c>
      <c r="T46" s="97" t="s">
        <v>412</v>
      </c>
      <c r="U46" s="83"/>
      <c r="V46" s="98"/>
      <c r="W46" s="99"/>
      <c r="X46" s="99"/>
      <c r="Y46" s="99"/>
      <c r="Z46" s="99"/>
      <c r="AA46" s="99"/>
      <c r="AB46" s="99"/>
      <c r="AC46" s="99"/>
      <c r="AD46" s="99"/>
      <c r="AE46" s="99"/>
      <c r="AF46" s="136"/>
      <c r="AG46" s="98"/>
      <c r="AH46" s="99"/>
      <c r="AI46" s="99"/>
      <c r="AJ46" s="99"/>
      <c r="AK46" s="99"/>
      <c r="AL46" s="99"/>
      <c r="AM46" s="99"/>
      <c r="AN46" s="99"/>
      <c r="AO46" s="99"/>
      <c r="AP46" s="99"/>
      <c r="AQ46" s="99"/>
      <c r="AR46" s="136"/>
      <c r="AS46" s="1122" t="s">
        <v>487</v>
      </c>
      <c r="AU46" s="150"/>
      <c r="AV46" s="150" t="str">
        <f t="shared" si="1"/>
        <v>Группа потребителей</v>
      </c>
      <c r="AW46" s="150"/>
      <c r="AX46" s="150"/>
      <c r="AY46" s="42">
        <v>23</v>
      </c>
    </row>
    <row r="47" ht="24" customHeight="1" spans="1:51">
      <c r="A47" s="45" t="s">
        <v>256</v>
      </c>
      <c r="B47" s="45" t="s">
        <v>257</v>
      </c>
      <c r="C47" s="45" t="s">
        <v>258</v>
      </c>
      <c r="D47" s="45" t="s">
        <v>552</v>
      </c>
      <c r="E47" s="1039"/>
      <c r="F47" s="1039"/>
      <c r="G47" s="1039"/>
      <c r="H47" s="1039"/>
      <c r="I47" s="1044"/>
      <c r="J47" s="1044"/>
      <c r="K47" s="228" t="str">
        <f>J46&amp;".1"</f>
        <v>...1.1.1</v>
      </c>
      <c r="L47" s="1040"/>
      <c r="P47" s="92"/>
      <c r="Q47" s="92"/>
      <c r="R47" s="96">
        <v>1</v>
      </c>
      <c r="S47" s="64" t="str">
        <f>$K47</f>
        <v>...1.1.1</v>
      </c>
      <c r="T47" s="1114"/>
      <c r="U47" s="83"/>
      <c r="V47" s="101"/>
      <c r="W47" s="101"/>
      <c r="X47" s="101"/>
      <c r="Y47" s="101"/>
      <c r="Z47" s="101"/>
      <c r="AA47" s="101"/>
      <c r="AB47" s="101"/>
      <c r="AC47" s="1119"/>
      <c r="AD47" s="352" t="s">
        <v>62</v>
      </c>
      <c r="AE47" s="1119"/>
      <c r="AF47" s="352" t="s">
        <v>62</v>
      </c>
      <c r="AG47" s="101"/>
      <c r="AH47" s="101"/>
      <c r="AI47" s="101"/>
      <c r="AJ47" s="101"/>
      <c r="AK47" s="101"/>
      <c r="AL47" s="101"/>
      <c r="AM47" s="101"/>
      <c r="AN47" s="138"/>
      <c r="AO47" s="139" t="s">
        <v>62</v>
      </c>
      <c r="AP47" s="1123"/>
      <c r="AQ47" s="139" t="s">
        <v>19</v>
      </c>
      <c r="AR47" s="1124"/>
      <c r="AS4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3" t="e">
        <f>STRCHECKDATE(V48:AR48)</f>
        <v>#NAME?</v>
      </c>
      <c r="AU47" s="150"/>
      <c r="AV47" s="150" t="str">
        <f t="shared" si="1"/>
        <v/>
      </c>
      <c r="AW47" s="150"/>
      <c r="AX47" s="150"/>
      <c r="AY47" s="42">
        <v>23</v>
      </c>
    </row>
    <row r="48" hidden="1" customHeight="1" spans="1:51">
      <c r="A48" s="45" t="s">
        <v>256</v>
      </c>
      <c r="B48" s="45" t="s">
        <v>257</v>
      </c>
      <c r="C48" s="45" t="s">
        <v>258</v>
      </c>
      <c r="D48" s="45" t="s">
        <v>552</v>
      </c>
      <c r="E48" s="1039"/>
      <c r="F48" s="1039"/>
      <c r="G48" s="1039"/>
      <c r="H48" s="1039"/>
      <c r="I48" s="1044"/>
      <c r="J48" s="1044"/>
      <c r="K48" s="228"/>
      <c r="L48" s="1040"/>
      <c r="P48" s="92"/>
      <c r="Q48" s="92"/>
      <c r="R48" s="96"/>
      <c r="S48" s="103"/>
      <c r="T48" s="83"/>
      <c r="U48" s="83"/>
      <c r="V48" s="489"/>
      <c r="W48" s="489"/>
      <c r="X48" s="489"/>
      <c r="Y48" s="489"/>
      <c r="Z48" s="489"/>
      <c r="AA48" s="489"/>
      <c r="AB48" s="489"/>
      <c r="AC48" s="352"/>
      <c r="AD48" s="352"/>
      <c r="AE48" s="352"/>
      <c r="AF48" s="352"/>
      <c r="AG48" s="102"/>
      <c r="AH48" s="102"/>
      <c r="AI48" s="102"/>
      <c r="AJ48" s="102"/>
      <c r="AK48" s="102"/>
      <c r="AL48" s="102"/>
      <c r="AM48" s="102"/>
      <c r="AN48" s="142"/>
      <c r="AO48" s="139"/>
      <c r="AP48" s="1126"/>
      <c r="AQ48" s="139"/>
      <c r="AR48" s="763"/>
      <c r="AS48" s="1125"/>
      <c r="AU48" s="150"/>
      <c r="AV48" s="150" t="str">
        <f t="shared" si="1"/>
        <v/>
      </c>
      <c r="AW48" s="150"/>
      <c r="AX48" s="150"/>
      <c r="AY48" s="42">
        <v>0</v>
      </c>
    </row>
    <row r="49" ht="21" customHeight="1" spans="1:51">
      <c r="A49" s="45" t="s">
        <v>256</v>
      </c>
      <c r="B49" s="45" t="s">
        <v>257</v>
      </c>
      <c r="C49" s="45" t="s">
        <v>258</v>
      </c>
      <c r="D49" s="45" t="s">
        <v>552</v>
      </c>
      <c r="E49" s="1039"/>
      <c r="F49" s="1039"/>
      <c r="G49" s="1039"/>
      <c r="H49" s="1039"/>
      <c r="I49" s="1044"/>
      <c r="J49" s="228"/>
      <c r="K49" s="45"/>
      <c r="L49" s="1040"/>
      <c r="P49" s="92"/>
      <c r="Q49" s="92"/>
      <c r="R49" s="93"/>
      <c r="S49" s="104"/>
      <c r="T49" s="107" t="s">
        <v>488</v>
      </c>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35" t="s">
        <v>489</v>
      </c>
      <c r="AU49" s="150"/>
      <c r="AV49" s="150" t="str">
        <f t="shared" si="1"/>
        <v>Добавить значение признака дифференциации</v>
      </c>
      <c r="AW49" s="150"/>
      <c r="AX49" s="150"/>
      <c r="AY49" s="42">
        <v>20</v>
      </c>
    </row>
    <row r="50" ht="22.05" customHeight="1" spans="1:51">
      <c r="A50" s="45" t="s">
        <v>256</v>
      </c>
      <c r="B50" s="45" t="s">
        <v>257</v>
      </c>
      <c r="C50" s="45" t="s">
        <v>258</v>
      </c>
      <c r="D50" s="45" t="s">
        <v>552</v>
      </c>
      <c r="E50" s="1039"/>
      <c r="F50" s="1039"/>
      <c r="G50" s="1039"/>
      <c r="H50" s="1039"/>
      <c r="I50" s="228"/>
      <c r="J50" s="45"/>
      <c r="K50" s="45"/>
      <c r="L50" s="1040"/>
      <c r="P50" s="92"/>
      <c r="Q50" s="92"/>
      <c r="R50" s="93"/>
      <c r="S50" s="104"/>
      <c r="T50" s="109" t="s">
        <v>417</v>
      </c>
      <c r="U50" s="106"/>
      <c r="V50" s="106"/>
      <c r="W50" s="106"/>
      <c r="X50" s="106"/>
      <c r="Y50" s="106"/>
      <c r="Z50" s="106"/>
      <c r="AA50" s="106"/>
      <c r="AB50" s="106"/>
      <c r="AC50" s="106"/>
      <c r="AD50" s="106"/>
      <c r="AE50" s="106"/>
      <c r="AF50" s="146"/>
      <c r="AG50" s="106"/>
      <c r="AH50" s="106"/>
      <c r="AI50" s="106"/>
      <c r="AJ50" s="106"/>
      <c r="AK50" s="106"/>
      <c r="AL50" s="106"/>
      <c r="AM50" s="106"/>
      <c r="AN50" s="106"/>
      <c r="AO50" s="106"/>
      <c r="AP50" s="106"/>
      <c r="AQ50" s="146"/>
      <c r="AR50" s="106"/>
      <c r="AS50" s="1127"/>
      <c r="AU50" s="150"/>
      <c r="AV50" s="150" t="str">
        <f t="shared" si="1"/>
        <v>Добавить группу потребителей</v>
      </c>
      <c r="AW50" s="150"/>
      <c r="AX50" s="150"/>
      <c r="AY50" s="42">
        <v>21</v>
      </c>
    </row>
    <row r="51" ht="22.05" customHeight="1" spans="1:51">
      <c r="A51" s="45" t="s">
        <v>256</v>
      </c>
      <c r="B51" s="45" t="s">
        <v>257</v>
      </c>
      <c r="C51" s="45" t="s">
        <v>258</v>
      </c>
      <c r="D51" s="45" t="s">
        <v>552</v>
      </c>
      <c r="E51" s="1039"/>
      <c r="F51" s="1039"/>
      <c r="G51" s="1039"/>
      <c r="H51" s="1038"/>
      <c r="I51" s="45"/>
      <c r="J51" s="45"/>
      <c r="K51" s="45"/>
      <c r="L51" s="1040"/>
      <c r="M51" s="46"/>
      <c r="N51" s="46"/>
      <c r="O51" s="37"/>
      <c r="P51" s="80"/>
      <c r="Q51" s="108"/>
      <c r="R51" s="81"/>
      <c r="S51" s="104"/>
      <c r="T51" s="813" t="s">
        <v>490</v>
      </c>
      <c r="U51" s="106"/>
      <c r="V51" s="106"/>
      <c r="W51" s="106"/>
      <c r="X51" s="106"/>
      <c r="Y51" s="106"/>
      <c r="Z51" s="106"/>
      <c r="AA51" s="106"/>
      <c r="AB51" s="106"/>
      <c r="AC51" s="106"/>
      <c r="AD51" s="106"/>
      <c r="AE51" s="106"/>
      <c r="AF51" s="146"/>
      <c r="AG51" s="106"/>
      <c r="AH51" s="106"/>
      <c r="AI51" s="106"/>
      <c r="AJ51" s="106"/>
      <c r="AK51" s="106"/>
      <c r="AL51" s="106"/>
      <c r="AM51" s="106"/>
      <c r="AN51" s="106"/>
      <c r="AO51" s="106"/>
      <c r="AP51" s="106"/>
      <c r="AQ51" s="146"/>
      <c r="AR51" s="106"/>
      <c r="AS51" s="147"/>
      <c r="AU51" s="150"/>
      <c r="AV51" s="150" t="str">
        <f t="shared" si="1"/>
        <v>Добавить наименование признака дифференциации</v>
      </c>
      <c r="AW51" s="150"/>
      <c r="AX51" s="150"/>
      <c r="AY51" s="42">
        <v>21</v>
      </c>
    </row>
    <row r="52" s="43" customFormat="1" hidden="1" customHeight="1" spans="1:51">
      <c r="A52" s="587" t="s">
        <v>256</v>
      </c>
      <c r="B52" s="587" t="s">
        <v>257</v>
      </c>
      <c r="C52" s="587"/>
      <c r="D52" s="587"/>
      <c r="E52" s="1039"/>
      <c r="F52" s="1038"/>
      <c r="G52" s="587"/>
      <c r="H52" s="587"/>
      <c r="I52" s="587"/>
      <c r="J52" s="587"/>
      <c r="K52" s="587"/>
      <c r="L52" s="608"/>
      <c r="M52" s="1045"/>
      <c r="N52" s="1045"/>
      <c r="P52" s="151"/>
      <c r="Q52" s="1068"/>
      <c r="R52" s="151"/>
      <c r="S52" s="1070"/>
      <c r="T52" s="1071" t="s">
        <v>251</v>
      </c>
      <c r="U52" s="306"/>
      <c r="V52" s="306"/>
      <c r="W52" s="306"/>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U52" s="150"/>
      <c r="AV52" s="150" t="str">
        <f t="shared" si="1"/>
        <v>Добавить централизованную систему для дифференциации</v>
      </c>
      <c r="AW52" s="150"/>
      <c r="AX52" s="150"/>
      <c r="AY52" s="43">
        <v>0</v>
      </c>
    </row>
    <row r="53" s="43" customFormat="1" hidden="1" customHeight="1" spans="1:51">
      <c r="A53" s="587" t="s">
        <v>256</v>
      </c>
      <c r="B53" s="587"/>
      <c r="C53" s="587"/>
      <c r="D53" s="587"/>
      <c r="E53" s="1038"/>
      <c r="F53" s="587"/>
      <c r="G53" s="587"/>
      <c r="H53" s="587"/>
      <c r="I53" s="587"/>
      <c r="J53" s="587"/>
      <c r="K53" s="587"/>
      <c r="L53" s="608"/>
      <c r="M53" s="1045"/>
      <c r="N53" s="1045"/>
      <c r="P53" s="151"/>
      <c r="Q53" s="1068"/>
      <c r="R53" s="151"/>
      <c r="S53" s="1070"/>
      <c r="T53" s="1071" t="s">
        <v>252</v>
      </c>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U53" s="150"/>
      <c r="AV53" s="150" t="str">
        <f t="shared" si="1"/>
        <v>Добавить территорию для дифференциации</v>
      </c>
      <c r="AW53" s="150"/>
      <c r="AX53" s="150"/>
      <c r="AY53" s="43">
        <v>0</v>
      </c>
    </row>
    <row r="54" s="43" customFormat="1" hidden="1" customHeight="1" spans="1:51">
      <c r="A54" s="587"/>
      <c r="B54" s="587"/>
      <c r="C54" s="587"/>
      <c r="D54" s="587"/>
      <c r="E54" s="587"/>
      <c r="F54" s="587"/>
      <c r="G54" s="587"/>
      <c r="H54" s="587"/>
      <c r="I54" s="587"/>
      <c r="J54" s="587"/>
      <c r="K54" s="587"/>
      <c r="L54" s="608"/>
      <c r="M54" s="1045"/>
      <c r="N54" s="1045"/>
      <c r="P54" s="151"/>
      <c r="Q54" s="1068"/>
      <c r="R54" s="151"/>
      <c r="S54" s="1070"/>
      <c r="T54" s="1071" t="s">
        <v>253</v>
      </c>
      <c r="U54" s="306"/>
      <c r="V54" s="306"/>
      <c r="W54" s="306"/>
      <c r="X54" s="306"/>
      <c r="Y54" s="306"/>
      <c r="Z54" s="306"/>
      <c r="AA54" s="306"/>
      <c r="AB54" s="306"/>
      <c r="AC54" s="306"/>
      <c r="AD54" s="306"/>
      <c r="AE54" s="306"/>
      <c r="AF54" s="306"/>
      <c r="AG54" s="306"/>
      <c r="AH54" s="306"/>
      <c r="AI54" s="306"/>
      <c r="AJ54" s="306"/>
      <c r="AK54" s="306"/>
      <c r="AL54" s="306"/>
      <c r="AM54" s="306"/>
      <c r="AN54" s="306"/>
      <c r="AO54" s="306"/>
      <c r="AP54" s="306"/>
      <c r="AQ54" s="306"/>
      <c r="AR54" s="306"/>
      <c r="AS54" s="306"/>
      <c r="AU54" s="150"/>
      <c r="AV54" s="150" t="str">
        <f t="shared" si="1"/>
        <v>Добавить наименование тарифа</v>
      </c>
      <c r="AW54" s="150"/>
      <c r="AX54" s="150"/>
      <c r="AY54" s="43">
        <v>0</v>
      </c>
    </row>
    <row r="55" ht="11.55" customHeight="1" spans="13:51">
      <c r="M55" s="37"/>
      <c r="N55" s="37"/>
      <c r="O55" s="37"/>
      <c r="P55" s="42"/>
      <c r="Q55" s="42"/>
      <c r="R55" s="42"/>
      <c r="S55" s="42"/>
      <c r="AT55" s="42"/>
      <c r="AU55" s="42"/>
      <c r="AV55" s="42"/>
      <c r="AW55" s="42"/>
      <c r="AX55" s="42"/>
      <c r="AY55" s="42">
        <v>11</v>
      </c>
    </row>
    <row r="56" ht="14.7" customHeight="1" spans="15:51">
      <c r="O56" s="37"/>
      <c r="S56" s="781"/>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Y56" s="42">
        <v>14</v>
      </c>
    </row>
    <row r="57" ht="14.7" customHeight="1" spans="15:51">
      <c r="O57" s="37"/>
      <c r="AY57" s="42">
        <v>14</v>
      </c>
    </row>
    <row r="58" ht="14.7" customHeight="1" spans="15:51">
      <c r="O58" s="37"/>
      <c r="S58" s="781"/>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Y58" s="42">
        <v>14</v>
      </c>
    </row>
    <row r="59" ht="22.5" hidden="1" customHeight="1" spans="1:51">
      <c r="A59" s="37" t="s">
        <v>83</v>
      </c>
      <c r="B59" s="37">
        <v>0</v>
      </c>
      <c r="C59" s="37">
        <v>0</v>
      </c>
      <c r="D59" s="37">
        <v>0</v>
      </c>
      <c r="E59" s="37">
        <v>0</v>
      </c>
      <c r="F59" s="37">
        <v>0</v>
      </c>
      <c r="G59" s="37">
        <v>0</v>
      </c>
      <c r="H59" s="37">
        <v>0</v>
      </c>
      <c r="I59" s="37">
        <v>0</v>
      </c>
      <c r="J59" s="37">
        <v>0</v>
      </c>
      <c r="K59" s="37">
        <v>0</v>
      </c>
      <c r="L59" s="47">
        <v>0</v>
      </c>
      <c r="M59" s="38">
        <v>0</v>
      </c>
      <c r="N59" s="38">
        <v>0</v>
      </c>
      <c r="O59" s="38">
        <v>0</v>
      </c>
      <c r="P59" s="39">
        <v>3</v>
      </c>
      <c r="Q59" s="40">
        <v>3</v>
      </c>
      <c r="R59" s="40">
        <v>3</v>
      </c>
      <c r="S59" s="41">
        <v>12</v>
      </c>
      <c r="T59" s="42">
        <v>35</v>
      </c>
      <c r="U59" s="42">
        <v>0</v>
      </c>
      <c r="V59" s="42">
        <v>0</v>
      </c>
      <c r="W59" s="42">
        <v>0</v>
      </c>
      <c r="X59" s="42">
        <v>0</v>
      </c>
      <c r="Y59" s="42">
        <v>0</v>
      </c>
      <c r="Z59" s="42">
        <v>0</v>
      </c>
      <c r="AA59" s="42">
        <v>0</v>
      </c>
      <c r="AB59" s="42">
        <v>0</v>
      </c>
      <c r="AC59" s="42">
        <v>0</v>
      </c>
      <c r="AD59" s="42">
        <v>0</v>
      </c>
      <c r="AE59" s="42">
        <v>0</v>
      </c>
      <c r="AF59" s="42">
        <v>0</v>
      </c>
      <c r="AG59" s="42">
        <v>19</v>
      </c>
      <c r="AH59" s="42">
        <v>19</v>
      </c>
      <c r="AI59" s="42">
        <v>19</v>
      </c>
      <c r="AJ59" s="42">
        <v>19</v>
      </c>
      <c r="AK59" s="42">
        <v>19</v>
      </c>
      <c r="AL59" s="42">
        <v>19</v>
      </c>
      <c r="AM59" s="42">
        <v>19</v>
      </c>
      <c r="AN59" s="42">
        <v>11</v>
      </c>
      <c r="AO59" s="42">
        <v>3</v>
      </c>
      <c r="AP59" s="42">
        <v>11</v>
      </c>
      <c r="AQ59" s="42">
        <v>0</v>
      </c>
      <c r="AR59" s="42">
        <v>4</v>
      </c>
      <c r="AS59" s="42">
        <v>115</v>
      </c>
      <c r="AT59" s="43">
        <v>10</v>
      </c>
      <c r="AU59" s="43">
        <v>10</v>
      </c>
      <c r="AV59" s="43">
        <v>10</v>
      </c>
      <c r="AW59" s="43">
        <v>10</v>
      </c>
      <c r="AX59" s="43">
        <v>10</v>
      </c>
      <c r="AY59" s="42">
        <v>23</v>
      </c>
    </row>
  </sheetData>
  <sheetProtection formatColumns="0" formatRows="0" insertRows="0" deleteColumns="0" deleteRows="0" sort="0" autoFilter="0"/>
  <mergeCells count="113">
    <mergeCell ref="V2:AF2"/>
    <mergeCell ref="AG2:AR2"/>
    <mergeCell ref="V3:AF3"/>
    <mergeCell ref="AG3:AR3"/>
    <mergeCell ref="V4:AF4"/>
    <mergeCell ref="AG4:AR4"/>
    <mergeCell ref="V5:AF5"/>
    <mergeCell ref="AG5:AR5"/>
    <mergeCell ref="V6:AF6"/>
    <mergeCell ref="AG6:AR6"/>
    <mergeCell ref="S24:AP24"/>
    <mergeCell ref="S25:AP25"/>
    <mergeCell ref="S27:T27"/>
    <mergeCell ref="V27:AE27"/>
    <mergeCell ref="AG27:AP27"/>
    <mergeCell ref="S28:T28"/>
    <mergeCell ref="V28:AE28"/>
    <mergeCell ref="AG28:AP28"/>
    <mergeCell ref="S29:T29"/>
    <mergeCell ref="V29:AE29"/>
    <mergeCell ref="AG29:AP29"/>
    <mergeCell ref="S30:T30"/>
    <mergeCell ref="V30:AE30"/>
    <mergeCell ref="AG30:AP30"/>
    <mergeCell ref="S32:T32"/>
    <mergeCell ref="V32:AE32"/>
    <mergeCell ref="AG32:AP32"/>
    <mergeCell ref="S33:T33"/>
    <mergeCell ref="V33:AE33"/>
    <mergeCell ref="AG33:AP33"/>
    <mergeCell ref="V35:AF35"/>
    <mergeCell ref="AG35:AQ35"/>
    <mergeCell ref="S36:AR36"/>
    <mergeCell ref="V37:AE37"/>
    <mergeCell ref="AG37:AP37"/>
    <mergeCell ref="W38:Y38"/>
    <mergeCell ref="Z38:AB38"/>
    <mergeCell ref="AH38:AJ38"/>
    <mergeCell ref="AK38:AM38"/>
    <mergeCell ref="X39:Y39"/>
    <mergeCell ref="AA39:AB39"/>
    <mergeCell ref="AI39:AJ39"/>
    <mergeCell ref="AL39:AM39"/>
    <mergeCell ref="AD40:AE40"/>
    <mergeCell ref="AO40:AP40"/>
    <mergeCell ref="AD41:AE41"/>
    <mergeCell ref="AO41:AP41"/>
    <mergeCell ref="V42:AF42"/>
    <mergeCell ref="AG42:AR42"/>
    <mergeCell ref="V43:AF43"/>
    <mergeCell ref="AG43:AR43"/>
    <mergeCell ref="V44:AF44"/>
    <mergeCell ref="AG44:AR44"/>
    <mergeCell ref="V45:AF45"/>
    <mergeCell ref="AG45:AR45"/>
    <mergeCell ref="V46:AF46"/>
    <mergeCell ref="AG46:AR46"/>
    <mergeCell ref="T56:AS56"/>
    <mergeCell ref="T58:AS58"/>
    <mergeCell ref="E2:E13"/>
    <mergeCell ref="E42:E53"/>
    <mergeCell ref="F3:F12"/>
    <mergeCell ref="F43:F52"/>
    <mergeCell ref="G4:G11"/>
    <mergeCell ref="G44:G51"/>
    <mergeCell ref="H5:H11"/>
    <mergeCell ref="H45:H51"/>
    <mergeCell ref="I5:I10"/>
    <mergeCell ref="I45:I50"/>
    <mergeCell ref="J6:J9"/>
    <mergeCell ref="J46:J49"/>
    <mergeCell ref="K7:K8"/>
    <mergeCell ref="K47:K48"/>
    <mergeCell ref="P5:P10"/>
    <mergeCell ref="P45:P50"/>
    <mergeCell ref="Q6:Q9"/>
    <mergeCell ref="Q46:Q49"/>
    <mergeCell ref="S37:S40"/>
    <mergeCell ref="T37:T40"/>
    <mergeCell ref="V38:V40"/>
    <mergeCell ref="W39:W40"/>
    <mergeCell ref="Z39:Z40"/>
    <mergeCell ref="AC7:AC8"/>
    <mergeCell ref="AC47:AC48"/>
    <mergeCell ref="AD7:AD8"/>
    <mergeCell ref="AD47:AD48"/>
    <mergeCell ref="AE7:AE8"/>
    <mergeCell ref="AE47:AE48"/>
    <mergeCell ref="AF7:AF8"/>
    <mergeCell ref="AF37:AF40"/>
    <mergeCell ref="AF47:AF48"/>
    <mergeCell ref="AG38:AG40"/>
    <mergeCell ref="AH39:AH40"/>
    <mergeCell ref="AK39:AK40"/>
    <mergeCell ref="AN7:AN8"/>
    <mergeCell ref="AN15:AN16"/>
    <mergeCell ref="AN47:AN48"/>
    <mergeCell ref="AO7:AO8"/>
    <mergeCell ref="AO15:AO16"/>
    <mergeCell ref="AO47:AO48"/>
    <mergeCell ref="AP7:AP8"/>
    <mergeCell ref="AP15:AP16"/>
    <mergeCell ref="AP47:AP48"/>
    <mergeCell ref="AQ7:AQ8"/>
    <mergeCell ref="AQ15:AQ16"/>
    <mergeCell ref="AQ37:AQ40"/>
    <mergeCell ref="AQ47:AQ48"/>
    <mergeCell ref="AR37:AR40"/>
    <mergeCell ref="AS7:AS8"/>
    <mergeCell ref="AS36:AS40"/>
    <mergeCell ref="AS47:AS48"/>
    <mergeCell ref="AN38:AP39"/>
    <mergeCell ref="AC38:AE39"/>
  </mergeCells>
  <dataValidations count="7">
    <dataValidation type="textLength" operator="lessThanOrEqual" allowBlank="1" showInputMessage="1" showErrorMessage="1" errorTitle="Ошибка" error="Допускается ввод не более 900 символов!" sqref="AG5:AR5 T7 AG45:AR45 T47 AS65573:AS65580 AS131109:AS131116 AS196645:AS196652 AS262181:AS262188 AS327717:AS327724 AS393253:AS393260 AS458789:AS458796 AS524325:AS524332 AS589861:AS589868 AS655397:AS655404 AS720933:AS720940 AS786469:AS786476 AS852005:AS852012 AS917541:AS917548 AS983077:AS98308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7 AE7 AN7 AP7 AN15 AP15 AC47 AE47 AN47 AP47 AC65579 AE65579 AN65579 AP65579 AC131115 AE131115 AN131115 AP131115 AC196651 AE196651 AN196651 AP196651 AC262187 AE262187 AN262187 AP262187 AC327723 AE327723 AN327723 AP327723 AC393259 AE393259 AN393259 AP393259 AC458795 AE458795 AN458795 AP458795 AC524331 AE524331 AN524331 AP524331 AC589867 AE589867 AN589867 AP589867 AC655403 AE655403 AN655403 AP655403 AC720939 AE720939 AN720939 AP720939 AC786475 AE786475 AN786475 AP786475 AC852011 AE852011 AN852011 AP852011 AC917547 AE917547 AN917547 AP917547 AC983083 AE983083 AN983083 AP983083"/>
    <dataValidation allowBlank="1" showInputMessage="1" showErrorMessage="1" prompt="Для выбора выполните двойной щелчок левой клавиши мыши по соответствующей ячейке." sqref="AD7 AF7 AO7 AQ7 AO15 AQ15 AD47 AF47 AO47 AQ47 AD65579 AF65579 AO65579 AQ65579 AD131115 AF131115 AO131115 AQ131115 AD196651 AF196651 AO196651 AQ196651 AD262187 AF262187 AO262187 AQ262187 AD327723 AF327723 AO327723 AQ327723 AD393259 AF393259 AO393259 AQ393259 AD458795 AF458795 AO458795 AQ458795 AD524331 AF524331 AO524331 AQ524331 AD589867 AF589867 AO589867 AQ589867 AD655403 AF655403 AO655403 AQ655403 AD720939 AF720939 AO720939 AQ720939 AD786475 AF786475 AO786475 AQ786475 AD852011 AF852011 AO852011 AQ852011 AD917547 AF917547 AO917547 AQ917547 AD983083 AF983083 AO983083 AQ983083"/>
    <dataValidation type="list" allowBlank="1" showInputMessage="1" showErrorMessage="1" errorTitle="Ошибка" error="Выберите значение из списка" sqref="V65577:AB65577 AG65577:AL65577 V131113:AB131113 AG131113:AL131113 V196649:AB196649 AG196649:AL196649 V262185:AB262185 AG262185:AL262185 V327721:AB327721 AG327721:AL327721 V393257:AB393257 AG393257:AL393257 V458793:AB458793 AG458793:AL458793 V524329:AB524329 AG524329:AL524329 V589865:AB589865 AG589865:AL589865 V655401:AB655401 AG655401:AL655401 V720937:AB720937 AG720937:AL720937 V786473:AB786473 AG786473:AL786473 V852009:AB852009 AG852009:AL852009 V917545:AB917545 AG917545:AL917545 V983081:AB983081 AG983081:AL983081">
      <formula1>kind_of_scheme_in</formula1>
    </dataValidation>
    <dataValidation type="list" allowBlank="1" showInputMessage="1" errorTitle="Ошибка" error="Выберите значение из списка" prompt="Выберите значение из списка" sqref="V65578:AR65578 V131114:AR131114 V196650:AR196650 V262186:AR262186 V327722:AR327722 V393258:AR393258 V458794:AR458794 V524330:AR524330 V589866:AR589866 V655402:AR655402 V720938:AR720938 V786474:AR786474 V852010:AR852010 V917546:AR917546 V983082:AR983082">
      <formula1>kind_of_cons</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qref="S131117:AS131123 S589869:AS589875 S196653:AS196659 S655405:AS655411 S262189:AS262195 S720941:AS720947 S327725:AS327731 S786477:AS786483 S393261:AS393267 S852013:AS852019 S458797:AS458803 S917549:AS917555 S65581:AS65587 S524333:AS524339 S983085:AS983091"/>
  </dataValidations>
  <pageMargins left="0.7" right="0.7" top="0.75" bottom="0.75" header="0.3" footer="0.3"/>
  <pageSetup paperSize="1"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Y59"/>
  <sheetViews>
    <sheetView showGridLines="0" zoomScale="90" zoomScaleNormal="90" workbookViewId="0">
      <pane xSplit="32" ySplit="41" topLeftCell="AG42" activePane="bottomRight" state="frozen"/>
      <selection/>
      <selection pane="topRight"/>
      <selection pane="bottomLeft"/>
      <selection pane="bottomRight"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4.1428571428571" style="37" hidden="1" customWidth="1"/>
    <col min="10" max="10" width="9.84761904761905" style="37" hidden="1" customWidth="1"/>
    <col min="11" max="11" width="14.7142857142857" style="37" hidden="1" customWidth="1"/>
    <col min="12" max="12" width="19.1428571428571" style="47" hidden="1" customWidth="1"/>
    <col min="13" max="14" width="12.2857142857143" style="38" hidden="1" customWidth="1"/>
    <col min="15" max="15" width="23.4190476190476" style="38" hidden="1" customWidth="1"/>
    <col min="16" max="16" width="3" style="39" customWidth="1"/>
    <col min="17" max="18" width="3" style="40" customWidth="1"/>
    <col min="19" max="19" width="12" style="41" customWidth="1"/>
    <col min="20" max="20" width="35" style="42" customWidth="1"/>
    <col min="21" max="21" width="0.142857142857143" style="42" customWidth="1"/>
    <col min="22" max="28" width="19.7142857142857" style="42" hidden="1" customWidth="1"/>
    <col min="29" max="29" width="11.7142857142857" style="42" hidden="1" customWidth="1"/>
    <col min="30" max="30" width="3.71428571428571" style="42" hidden="1" customWidth="1"/>
    <col min="31" max="31" width="11.7142857142857" style="42" hidden="1" customWidth="1"/>
    <col min="32" max="32" width="8.57142857142857" style="42" hidden="1" customWidth="1"/>
    <col min="33" max="33" width="19.7142857142857" style="42" customWidth="1"/>
    <col min="34" max="39" width="19" style="42" customWidth="1"/>
    <col min="40" max="40" width="11" style="42" customWidth="1"/>
    <col min="41" max="41" width="3.71428571428571" style="42" customWidth="1"/>
    <col min="42" max="42" width="11" style="42" customWidth="1"/>
    <col min="43" max="43" width="8.57142857142857" style="42" hidden="1" customWidth="1"/>
    <col min="44" max="44" width="4" style="42" customWidth="1"/>
    <col min="45" max="45" width="115" style="42" customWidth="1"/>
    <col min="46" max="50" width="10" style="43" customWidth="1"/>
    <col min="51" max="51" width="10.5714285714286" style="42" hidden="1"/>
  </cols>
  <sheetData>
    <row r="1" ht="22.5" hidden="1" customHeight="1" spans="51:51">
      <c r="AY1" s="42" t="s">
        <v>14</v>
      </c>
    </row>
    <row r="2" ht="23.25" hidden="1" customHeight="1" spans="1:51">
      <c r="A2" s="45"/>
      <c r="B2" s="45"/>
      <c r="C2" s="45"/>
      <c r="D2" s="45"/>
      <c r="E2" s="1038">
        <v>1</v>
      </c>
      <c r="F2" s="45"/>
      <c r="G2" s="45"/>
      <c r="H2" s="45"/>
      <c r="I2" s="45"/>
      <c r="J2" s="45"/>
      <c r="K2" s="45"/>
      <c r="L2" s="1040"/>
      <c r="M2" s="46"/>
      <c r="N2" s="46"/>
      <c r="O2" s="46"/>
      <c r="Q2" s="80"/>
      <c r="R2" s="81"/>
      <c r="S2" s="64" t="e">
        <f>INDEX(PT_DIFFERENTIATION_NUM_NTAR,MATCH(A2,PT_DIFFERENTIATION_NTAR_ID,0))</f>
        <v>#N/A</v>
      </c>
      <c r="T2" s="82" t="s">
        <v>125</v>
      </c>
      <c r="U2" s="83"/>
      <c r="V2" s="1076"/>
      <c r="W2" s="1047"/>
      <c r="X2" s="1047"/>
      <c r="Y2" s="1047"/>
      <c r="Z2" s="1047"/>
      <c r="AA2" s="1047"/>
      <c r="AB2" s="1047"/>
      <c r="AC2" s="1047"/>
      <c r="AD2" s="1047"/>
      <c r="AE2" s="1047"/>
      <c r="AF2" s="1075"/>
      <c r="AG2" s="1076" t="e">
        <f>INDEX(PT_DIFFERENTIATION_NTAR,MATCH(A2,PT_DIFFERENTIATION_NTAR_ID,0))</f>
        <v>#N/A</v>
      </c>
      <c r="AH2" s="1047"/>
      <c r="AI2" s="1047"/>
      <c r="AJ2" s="1047"/>
      <c r="AK2" s="1047"/>
      <c r="AL2" s="1047"/>
      <c r="AM2" s="1047"/>
      <c r="AN2" s="1047"/>
      <c r="AO2" s="1047"/>
      <c r="AP2" s="1047"/>
      <c r="AQ2" s="1047"/>
      <c r="AR2" s="1075"/>
      <c r="AS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150"/>
      <c r="AV2" s="150" t="str">
        <f t="shared" ref="AV2:AV13" si="0">IF(T2="","",T2)</f>
        <v>Наименование тарифа</v>
      </c>
      <c r="AW2" s="150"/>
      <c r="AX2" s="150"/>
      <c r="AY2" s="42">
        <v>0</v>
      </c>
    </row>
    <row r="3" ht="23.25" hidden="1" customHeight="1" spans="1:51">
      <c r="A3" s="45"/>
      <c r="B3" s="45"/>
      <c r="C3" s="45"/>
      <c r="D3" s="45"/>
      <c r="E3" s="1039"/>
      <c r="F3" s="1038">
        <v>1</v>
      </c>
      <c r="G3" s="45"/>
      <c r="H3" s="45"/>
      <c r="I3" s="45"/>
      <c r="J3" s="45"/>
      <c r="K3" s="45"/>
      <c r="L3" s="1040"/>
      <c r="M3" s="46"/>
      <c r="N3" s="46"/>
      <c r="O3" s="46"/>
      <c r="P3" s="85"/>
      <c r="Q3" s="86"/>
      <c r="R3" s="87"/>
      <c r="S3" s="64" t="e">
        <f>INDEX(PT_DIFFERENTIATION_NUM_TER,MATCH(B3,PT_DIFFERENTIATION_TER_ID,0))</f>
        <v>#N/A</v>
      </c>
      <c r="T3" s="88" t="s">
        <v>402</v>
      </c>
      <c r="U3" s="83"/>
      <c r="V3" s="1076"/>
      <c r="W3" s="1047"/>
      <c r="X3" s="1047"/>
      <c r="Y3" s="1047"/>
      <c r="Z3" s="1047"/>
      <c r="AA3" s="1047"/>
      <c r="AB3" s="1047"/>
      <c r="AC3" s="1047"/>
      <c r="AD3" s="1047"/>
      <c r="AE3" s="1047"/>
      <c r="AF3" s="1075"/>
      <c r="AG3" s="1076" t="e">
        <f>INDEX(PT_DIFFERENTIATION_TER,MATCH(B3,PT_DIFFERENTIATION_TER_ID,0))</f>
        <v>#N/A</v>
      </c>
      <c r="AH3" s="1047"/>
      <c r="AI3" s="1047"/>
      <c r="AJ3" s="1047"/>
      <c r="AK3" s="1047"/>
      <c r="AL3" s="1047"/>
      <c r="AM3" s="1047"/>
      <c r="AN3" s="1047"/>
      <c r="AO3" s="1047"/>
      <c r="AP3" s="1047"/>
      <c r="AQ3" s="1047"/>
      <c r="AR3" s="1075"/>
      <c r="AS3" s="135" t="s">
        <v>403</v>
      </c>
      <c r="AU3" s="150"/>
      <c r="AV3" s="150" t="str">
        <f t="shared" si="0"/>
        <v>Территория действия тарифа</v>
      </c>
      <c r="AW3" s="150"/>
      <c r="AX3" s="150"/>
      <c r="AY3" s="42">
        <v>0</v>
      </c>
    </row>
    <row r="4" ht="23.25" hidden="1" customHeight="1" spans="1:51">
      <c r="A4" s="45"/>
      <c r="B4" s="45"/>
      <c r="C4" s="45"/>
      <c r="D4" s="45"/>
      <c r="E4" s="1039"/>
      <c r="F4" s="1039"/>
      <c r="G4" s="1038">
        <v>1</v>
      </c>
      <c r="H4" s="45"/>
      <c r="I4" s="45"/>
      <c r="J4" s="45"/>
      <c r="K4" s="45"/>
      <c r="L4" s="1040"/>
      <c r="M4" s="46"/>
      <c r="N4" s="46"/>
      <c r="O4" s="46"/>
      <c r="P4" s="89"/>
      <c r="Q4" s="86"/>
      <c r="R4" s="87"/>
      <c r="S4" s="64" t="e">
        <f>INDEX(PT_DIFFERENTIATION_NUM_CS,MATCH(C4,PT_DIFFERENTIATION_CS_ID,0))</f>
        <v>#N/A</v>
      </c>
      <c r="T4" s="90" t="s">
        <v>540</v>
      </c>
      <c r="U4" s="83"/>
      <c r="V4" s="1076"/>
      <c r="W4" s="1047"/>
      <c r="X4" s="1047"/>
      <c r="Y4" s="1047"/>
      <c r="Z4" s="1047"/>
      <c r="AA4" s="1047"/>
      <c r="AB4" s="1047"/>
      <c r="AC4" s="1047"/>
      <c r="AD4" s="1047"/>
      <c r="AE4" s="1047"/>
      <c r="AF4" s="1075"/>
      <c r="AG4" s="1076" t="e">
        <f>INDEX(PT_DIFFERENTIATION_CS,MATCH(C4,PT_DIFFERENTIATION_CS_ID,0))</f>
        <v>#N/A</v>
      </c>
      <c r="AH4" s="1047"/>
      <c r="AI4" s="1047"/>
      <c r="AJ4" s="1047"/>
      <c r="AK4" s="1047"/>
      <c r="AL4" s="1047"/>
      <c r="AM4" s="1047"/>
      <c r="AN4" s="1047"/>
      <c r="AO4" s="1047"/>
      <c r="AP4" s="1047"/>
      <c r="AQ4" s="1047"/>
      <c r="AR4" s="1075"/>
      <c r="AS4" s="135" t="s">
        <v>541</v>
      </c>
      <c r="AU4" s="150"/>
      <c r="AV4" s="150" t="str">
        <f t="shared" si="0"/>
        <v>Наименование централизованной системы горячего водоснабжения</v>
      </c>
      <c r="AW4" s="150"/>
      <c r="AX4" s="150"/>
      <c r="AY4" s="42">
        <v>0</v>
      </c>
    </row>
    <row r="5" ht="23.25" hidden="1" customHeight="1" spans="1:51">
      <c r="A5" s="45"/>
      <c r="B5" s="45"/>
      <c r="C5" s="45"/>
      <c r="D5" s="45"/>
      <c r="E5" s="1039"/>
      <c r="F5" s="1039"/>
      <c r="G5" s="1039"/>
      <c r="H5" s="1039"/>
      <c r="I5" s="228" t="e">
        <f>S4&amp;".1"</f>
        <v>#N/A</v>
      </c>
      <c r="J5" s="45"/>
      <c r="K5" s="45"/>
      <c r="L5" s="1040"/>
      <c r="P5" s="92">
        <v>1</v>
      </c>
      <c r="Q5" s="92"/>
      <c r="R5" s="93"/>
      <c r="S5" s="64" t="e">
        <f>$I5</f>
        <v>#N/A</v>
      </c>
      <c r="T5" s="94" t="s">
        <v>485</v>
      </c>
      <c r="U5" s="83"/>
      <c r="V5" s="1112"/>
      <c r="W5" s="1113"/>
      <c r="X5" s="1113"/>
      <c r="Y5" s="1113"/>
      <c r="Z5" s="1113"/>
      <c r="AA5" s="1113"/>
      <c r="AB5" s="1113"/>
      <c r="AC5" s="1113"/>
      <c r="AD5" s="1113"/>
      <c r="AE5" s="1113"/>
      <c r="AF5" s="1117"/>
      <c r="AG5" s="821"/>
      <c r="AH5" s="1120"/>
      <c r="AI5" s="1120"/>
      <c r="AJ5" s="1120"/>
      <c r="AK5" s="1120"/>
      <c r="AL5" s="1120"/>
      <c r="AM5" s="1120"/>
      <c r="AN5" s="1120"/>
      <c r="AO5" s="1120"/>
      <c r="AP5" s="1120"/>
      <c r="AQ5" s="1120"/>
      <c r="AR5" s="1121"/>
      <c r="AS5" s="135" t="s">
        <v>486</v>
      </c>
      <c r="AU5" s="150"/>
      <c r="AV5" s="150" t="str">
        <f t="shared" si="0"/>
        <v>Наименование признака дифференциации</v>
      </c>
      <c r="AW5" s="150"/>
      <c r="AX5" s="150"/>
      <c r="AY5" s="42">
        <v>0</v>
      </c>
    </row>
    <row r="6" ht="23.25" hidden="1" customHeight="1" spans="1:51">
      <c r="A6" s="45"/>
      <c r="B6" s="45"/>
      <c r="C6" s="45"/>
      <c r="D6" s="45"/>
      <c r="E6" s="1039"/>
      <c r="F6" s="1039"/>
      <c r="G6" s="1039"/>
      <c r="H6" s="1039"/>
      <c r="I6" s="1044"/>
      <c r="J6" s="228" t="e">
        <f>I5&amp;".1"</f>
        <v>#N/A</v>
      </c>
      <c r="K6" s="45"/>
      <c r="L6" s="1040" t="s">
        <v>411</v>
      </c>
      <c r="P6" s="92"/>
      <c r="Q6" s="92">
        <v>1</v>
      </c>
      <c r="R6" s="96"/>
      <c r="S6" s="64" t="e">
        <f>$J6</f>
        <v>#N/A</v>
      </c>
      <c r="T6" s="97" t="s">
        <v>412</v>
      </c>
      <c r="U6" s="83"/>
      <c r="V6" s="98"/>
      <c r="W6" s="99"/>
      <c r="X6" s="99"/>
      <c r="Y6" s="99"/>
      <c r="Z6" s="99"/>
      <c r="AA6" s="99"/>
      <c r="AB6" s="99"/>
      <c r="AC6" s="99"/>
      <c r="AD6" s="99"/>
      <c r="AE6" s="99"/>
      <c r="AF6" s="136"/>
      <c r="AG6" s="98"/>
      <c r="AH6" s="99"/>
      <c r="AI6" s="99"/>
      <c r="AJ6" s="99"/>
      <c r="AK6" s="99"/>
      <c r="AL6" s="99"/>
      <c r="AM6" s="99"/>
      <c r="AN6" s="99"/>
      <c r="AO6" s="99"/>
      <c r="AP6" s="99"/>
      <c r="AQ6" s="99"/>
      <c r="AR6" s="136"/>
      <c r="AS6" s="1122" t="s">
        <v>487</v>
      </c>
      <c r="AU6" s="150"/>
      <c r="AV6" s="150" t="str">
        <f t="shared" si="0"/>
        <v>Группа потребителей</v>
      </c>
      <c r="AW6" s="150"/>
      <c r="AX6" s="150"/>
      <c r="AY6" s="42">
        <v>0</v>
      </c>
    </row>
    <row r="7" ht="23.25" hidden="1" customHeight="1" spans="1:51">
      <c r="A7" s="45"/>
      <c r="B7" s="45"/>
      <c r="C7" s="45"/>
      <c r="D7" s="45"/>
      <c r="E7" s="1039"/>
      <c r="F7" s="1039"/>
      <c r="G7" s="1039"/>
      <c r="H7" s="1039"/>
      <c r="I7" s="1044"/>
      <c r="J7" s="1044"/>
      <c r="K7" s="228" t="e">
        <f>J6&amp;".1"</f>
        <v>#N/A</v>
      </c>
      <c r="L7" s="1040"/>
      <c r="P7" s="92"/>
      <c r="Q7" s="92"/>
      <c r="R7" s="96">
        <v>1</v>
      </c>
      <c r="S7" s="64" t="e">
        <f>$K7</f>
        <v>#N/A</v>
      </c>
      <c r="T7" s="1114"/>
      <c r="U7" s="83"/>
      <c r="V7" s="101"/>
      <c r="W7" s="101"/>
      <c r="X7" s="101"/>
      <c r="Y7" s="101"/>
      <c r="Z7" s="101"/>
      <c r="AA7" s="101"/>
      <c r="AB7" s="137"/>
      <c r="AC7" s="138"/>
      <c r="AD7" s="139" t="s">
        <v>62</v>
      </c>
      <c r="AE7" s="138"/>
      <c r="AF7" s="139" t="s">
        <v>62</v>
      </c>
      <c r="AG7" s="101"/>
      <c r="AH7" s="101"/>
      <c r="AI7" s="101"/>
      <c r="AJ7" s="101"/>
      <c r="AK7" s="101"/>
      <c r="AL7" s="101"/>
      <c r="AM7" s="137"/>
      <c r="AN7" s="138"/>
      <c r="AO7" s="139" t="s">
        <v>62</v>
      </c>
      <c r="AP7" s="1123"/>
      <c r="AQ7" s="139" t="s">
        <v>62</v>
      </c>
      <c r="AR7" s="1124"/>
      <c r="AS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3" t="e">
        <f>STRCHECKDATE(V8:AR8)</f>
        <v>#NAME?</v>
      </c>
      <c r="AU7" s="150"/>
      <c r="AV7" s="150" t="str">
        <f t="shared" si="0"/>
        <v/>
      </c>
      <c r="AW7" s="150"/>
      <c r="AX7" s="150"/>
      <c r="AY7" s="42">
        <v>0</v>
      </c>
    </row>
    <row r="8" hidden="1" customHeight="1" spans="1:51">
      <c r="A8" s="45"/>
      <c r="B8" s="45"/>
      <c r="C8" s="45"/>
      <c r="D8" s="45"/>
      <c r="E8" s="1039"/>
      <c r="F8" s="1039"/>
      <c r="G8" s="1039"/>
      <c r="H8" s="1039"/>
      <c r="I8" s="1044"/>
      <c r="J8" s="1044"/>
      <c r="K8" s="228"/>
      <c r="L8" s="1040"/>
      <c r="P8" s="92"/>
      <c r="Q8" s="92"/>
      <c r="R8" s="96"/>
      <c r="S8" s="103"/>
      <c r="T8" s="83"/>
      <c r="U8" s="83"/>
      <c r="V8" s="102"/>
      <c r="W8" s="102"/>
      <c r="X8" s="102"/>
      <c r="Y8" s="102"/>
      <c r="Z8" s="102"/>
      <c r="AA8" s="102"/>
      <c r="AB8" s="141" t="str">
        <f>AC7&amp;"-"&amp;AE7</f>
        <v>-</v>
      </c>
      <c r="AC8" s="142"/>
      <c r="AD8" s="139"/>
      <c r="AE8" s="142"/>
      <c r="AF8" s="139"/>
      <c r="AG8" s="102"/>
      <c r="AH8" s="102"/>
      <c r="AI8" s="102"/>
      <c r="AJ8" s="102"/>
      <c r="AK8" s="102"/>
      <c r="AL8" s="102"/>
      <c r="AM8" s="141" t="str">
        <f>AN7&amp;"-"&amp;AP7</f>
        <v>-</v>
      </c>
      <c r="AN8" s="142"/>
      <c r="AO8" s="139"/>
      <c r="AP8" s="1126"/>
      <c r="AQ8" s="139"/>
      <c r="AR8" s="763"/>
      <c r="AS8" s="1125"/>
      <c r="AU8" s="150"/>
      <c r="AV8" s="150" t="str">
        <f t="shared" si="0"/>
        <v/>
      </c>
      <c r="AW8" s="150"/>
      <c r="AX8" s="150"/>
      <c r="AY8" s="42">
        <v>0</v>
      </c>
    </row>
    <row r="9" ht="21" hidden="1" customHeight="1" spans="1:51">
      <c r="A9" s="45"/>
      <c r="B9" s="45"/>
      <c r="C9" s="45"/>
      <c r="D9" s="45"/>
      <c r="E9" s="1039"/>
      <c r="F9" s="1039"/>
      <c r="G9" s="1039"/>
      <c r="H9" s="1039"/>
      <c r="I9" s="1044"/>
      <c r="J9" s="228"/>
      <c r="K9" s="45"/>
      <c r="L9" s="1040"/>
      <c r="P9" s="92"/>
      <c r="Q9" s="92"/>
      <c r="R9" s="93"/>
      <c r="S9" s="104"/>
      <c r="T9" s="107" t="s">
        <v>488</v>
      </c>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35" t="s">
        <v>489</v>
      </c>
      <c r="AU9" s="150"/>
      <c r="AV9" s="150" t="str">
        <f t="shared" si="0"/>
        <v>Добавить значение признака дифференциации</v>
      </c>
      <c r="AW9" s="150"/>
      <c r="AX9" s="150"/>
      <c r="AY9" s="42">
        <v>0</v>
      </c>
    </row>
    <row r="10" ht="21" hidden="1" customHeight="1" spans="1:51">
      <c r="A10" s="45"/>
      <c r="B10" s="45"/>
      <c r="C10" s="45"/>
      <c r="D10" s="45"/>
      <c r="E10" s="1039"/>
      <c r="F10" s="1039"/>
      <c r="G10" s="1039"/>
      <c r="H10" s="1039"/>
      <c r="I10" s="228"/>
      <c r="J10" s="45"/>
      <c r="K10" s="45"/>
      <c r="L10" s="1040"/>
      <c r="P10" s="92"/>
      <c r="Q10" s="92"/>
      <c r="R10" s="93"/>
      <c r="S10" s="104"/>
      <c r="T10" s="109" t="s">
        <v>417</v>
      </c>
      <c r="U10" s="106"/>
      <c r="V10" s="106"/>
      <c r="W10" s="106"/>
      <c r="X10" s="106"/>
      <c r="Y10" s="106"/>
      <c r="Z10" s="106"/>
      <c r="AA10" s="106"/>
      <c r="AB10" s="106"/>
      <c r="AC10" s="106"/>
      <c r="AD10" s="106"/>
      <c r="AE10" s="106"/>
      <c r="AF10" s="146"/>
      <c r="AG10" s="106"/>
      <c r="AH10" s="106"/>
      <c r="AI10" s="106"/>
      <c r="AJ10" s="106"/>
      <c r="AK10" s="106"/>
      <c r="AL10" s="106"/>
      <c r="AM10" s="106"/>
      <c r="AN10" s="106"/>
      <c r="AO10" s="106"/>
      <c r="AP10" s="106"/>
      <c r="AQ10" s="146"/>
      <c r="AR10" s="106"/>
      <c r="AS10" s="1127"/>
      <c r="AU10" s="150"/>
      <c r="AV10" s="150" t="str">
        <f t="shared" si="0"/>
        <v>Добавить группу потребителей</v>
      </c>
      <c r="AW10" s="150"/>
      <c r="AX10" s="150"/>
      <c r="AY10" s="42">
        <v>0</v>
      </c>
    </row>
    <row r="11" ht="21" hidden="1" customHeight="1" spans="1:51">
      <c r="A11" s="45"/>
      <c r="B11" s="45"/>
      <c r="C11" s="45"/>
      <c r="D11" s="45"/>
      <c r="E11" s="1039"/>
      <c r="F11" s="1039"/>
      <c r="G11" s="1039"/>
      <c r="H11" s="1038"/>
      <c r="I11" s="45"/>
      <c r="J11" s="45"/>
      <c r="K11" s="45"/>
      <c r="L11" s="1040"/>
      <c r="M11" s="46"/>
      <c r="N11" s="46"/>
      <c r="O11" s="37"/>
      <c r="P11" s="80"/>
      <c r="Q11" s="108"/>
      <c r="R11" s="81"/>
      <c r="S11" s="104"/>
      <c r="T11" s="813" t="s">
        <v>490</v>
      </c>
      <c r="U11" s="106"/>
      <c r="V11" s="106"/>
      <c r="W11" s="106"/>
      <c r="X11" s="106"/>
      <c r="Y11" s="106"/>
      <c r="Z11" s="106"/>
      <c r="AA11" s="106"/>
      <c r="AB11" s="106"/>
      <c r="AC11" s="106"/>
      <c r="AD11" s="106"/>
      <c r="AE11" s="106"/>
      <c r="AF11" s="146"/>
      <c r="AG11" s="106"/>
      <c r="AH11" s="106"/>
      <c r="AI11" s="106"/>
      <c r="AJ11" s="106"/>
      <c r="AK11" s="106"/>
      <c r="AL11" s="106"/>
      <c r="AM11" s="106"/>
      <c r="AN11" s="106"/>
      <c r="AO11" s="106"/>
      <c r="AP11" s="106"/>
      <c r="AQ11" s="146"/>
      <c r="AR11" s="106"/>
      <c r="AS11" s="147"/>
      <c r="AU11" s="150"/>
      <c r="AV11" s="150" t="str">
        <f t="shared" si="0"/>
        <v>Добавить наименование признака дифференциации</v>
      </c>
      <c r="AW11" s="150"/>
      <c r="AX11" s="150"/>
      <c r="AY11" s="42">
        <v>0</v>
      </c>
    </row>
    <row r="12" s="43" customFormat="1" hidden="1" customHeight="1" spans="1:51">
      <c r="A12" s="587"/>
      <c r="B12" s="587"/>
      <c r="C12" s="587"/>
      <c r="D12" s="587"/>
      <c r="E12" s="1039"/>
      <c r="F12" s="1038"/>
      <c r="G12" s="587"/>
      <c r="H12" s="587"/>
      <c r="I12" s="587"/>
      <c r="J12" s="587"/>
      <c r="K12" s="587"/>
      <c r="L12" s="608"/>
      <c r="M12" s="1045"/>
      <c r="N12" s="1045"/>
      <c r="P12" s="151"/>
      <c r="Q12" s="1068"/>
      <c r="R12" s="151"/>
      <c r="S12" s="1070"/>
      <c r="T12" s="1071" t="s">
        <v>251</v>
      </c>
      <c r="U12" s="306"/>
      <c r="V12" s="306"/>
      <c r="W12" s="306"/>
      <c r="X12" s="306"/>
      <c r="Y12" s="306"/>
      <c r="Z12" s="306"/>
      <c r="AA12" s="306"/>
      <c r="AB12" s="306"/>
      <c r="AC12" s="306"/>
      <c r="AD12" s="306"/>
      <c r="AE12" s="306"/>
      <c r="AF12" s="306"/>
      <c r="AG12" s="306"/>
      <c r="AH12" s="306"/>
      <c r="AI12" s="306"/>
      <c r="AJ12" s="306"/>
      <c r="AK12" s="306"/>
      <c r="AL12" s="306"/>
      <c r="AM12" s="306"/>
      <c r="AN12" s="306"/>
      <c r="AO12" s="306"/>
      <c r="AP12" s="306"/>
      <c r="AQ12" s="306"/>
      <c r="AR12" s="306"/>
      <c r="AS12" s="306"/>
      <c r="AU12" s="150"/>
      <c r="AV12" s="150" t="str">
        <f t="shared" si="0"/>
        <v>Добавить централизованную систему для дифференциации</v>
      </c>
      <c r="AW12" s="150"/>
      <c r="AX12" s="150"/>
      <c r="AY12" s="43">
        <v>0</v>
      </c>
    </row>
    <row r="13" s="43" customFormat="1" hidden="1" customHeight="1" spans="1:51">
      <c r="A13" s="587"/>
      <c r="B13" s="587"/>
      <c r="C13" s="587"/>
      <c r="D13" s="587"/>
      <c r="E13" s="1038"/>
      <c r="F13" s="587"/>
      <c r="G13" s="587"/>
      <c r="H13" s="587"/>
      <c r="I13" s="587"/>
      <c r="J13" s="587"/>
      <c r="K13" s="587"/>
      <c r="L13" s="608"/>
      <c r="M13" s="1045"/>
      <c r="N13" s="1045"/>
      <c r="P13" s="151"/>
      <c r="Q13" s="1068"/>
      <c r="R13" s="151"/>
      <c r="S13" s="1070"/>
      <c r="T13" s="1071" t="s">
        <v>252</v>
      </c>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U13" s="150"/>
      <c r="AV13" s="150" t="str">
        <f t="shared" si="0"/>
        <v>Добавить территорию для дифференциации</v>
      </c>
      <c r="AW13" s="150"/>
      <c r="AX13" s="150"/>
      <c r="AY13" s="43">
        <v>0</v>
      </c>
    </row>
    <row r="14" hidden="1" customHeight="1" spans="51:51">
      <c r="AY14" s="42">
        <v>0</v>
      </c>
    </row>
    <row r="15" hidden="1" customHeight="1" spans="33:51">
      <c r="AG15" s="489"/>
      <c r="AH15" s="489"/>
      <c r="AI15" s="489"/>
      <c r="AJ15" s="489"/>
      <c r="AK15" s="489"/>
      <c r="AL15" s="489"/>
      <c r="AM15" s="1118"/>
      <c r="AN15" s="1119"/>
      <c r="AO15" s="352" t="s">
        <v>62</v>
      </c>
      <c r="AP15" s="1119"/>
      <c r="AQ15" s="352" t="s">
        <v>62</v>
      </c>
      <c r="AY15" s="42">
        <v>0</v>
      </c>
    </row>
    <row r="16" hidden="1" customHeight="1" spans="33:51">
      <c r="AG16" s="489"/>
      <c r="AH16" s="489"/>
      <c r="AI16" s="489"/>
      <c r="AJ16" s="489"/>
      <c r="AK16" s="489"/>
      <c r="AL16" s="489"/>
      <c r="AM16" s="141" t="str">
        <f>AN15&amp;"-"&amp;AP15</f>
        <v>-</v>
      </c>
      <c r="AN16" s="352"/>
      <c r="AO16" s="352"/>
      <c r="AP16" s="352"/>
      <c r="AQ16" s="352"/>
      <c r="AY16" s="42">
        <v>0</v>
      </c>
    </row>
    <row r="17" hidden="1" customHeight="1" spans="51:51">
      <c r="AY17" s="42">
        <v>0</v>
      </c>
    </row>
    <row r="18" s="37" customFormat="1" ht="22.5" hidden="1" customHeight="1" spans="12:51">
      <c r="L18" s="47"/>
      <c r="M18" s="38"/>
      <c r="N18" s="38"/>
      <c r="O18" s="1046" t="s">
        <v>420</v>
      </c>
      <c r="P18" s="38"/>
      <c r="Q18" s="1037"/>
      <c r="R18" s="1037"/>
      <c r="S18" s="46"/>
      <c r="AC18" s="1046"/>
      <c r="AE18" s="1046"/>
      <c r="AN18" s="1046"/>
      <c r="AP18" s="1046"/>
      <c r="AT18" s="43"/>
      <c r="AU18" s="43"/>
      <c r="AV18" s="43"/>
      <c r="AW18" s="43"/>
      <c r="AX18" s="43"/>
      <c r="AY18" s="37">
        <v>0</v>
      </c>
    </row>
    <row r="19" s="37" customFormat="1" hidden="1" customHeight="1" spans="12:51">
      <c r="L19" s="47"/>
      <c r="M19" s="38"/>
      <c r="N19" s="38"/>
      <c r="O19" s="38"/>
      <c r="P19" s="38"/>
      <c r="Q19" s="1037"/>
      <c r="R19" s="1037"/>
      <c r="S19" s="46"/>
      <c r="AT19" s="43"/>
      <c r="AU19" s="43"/>
      <c r="AV19" s="43"/>
      <c r="AW19" s="43"/>
      <c r="AX19" s="43"/>
      <c r="AY19" s="37">
        <v>0</v>
      </c>
    </row>
    <row r="20" s="37" customFormat="1" ht="12" hidden="1" customHeight="1" spans="12:51">
      <c r="L20" s="47"/>
      <c r="M20" s="38"/>
      <c r="N20" s="38"/>
      <c r="O20" s="1040" t="s">
        <v>421</v>
      </c>
      <c r="P20" s="38"/>
      <c r="Q20" s="1115"/>
      <c r="R20" s="1115"/>
      <c r="S20" s="46"/>
      <c r="T20" s="37" t="s">
        <v>422</v>
      </c>
      <c r="AD20" s="44" t="s">
        <v>423</v>
      </c>
      <c r="AF20" s="44" t="s">
        <v>424</v>
      </c>
      <c r="AG20" s="37" t="s">
        <v>422</v>
      </c>
      <c r="AO20" s="44" t="s">
        <v>425</v>
      </c>
      <c r="AQ20" s="44" t="s">
        <v>424</v>
      </c>
      <c r="AY20" s="37">
        <v>0</v>
      </c>
    </row>
    <row r="21" hidden="1" customHeight="1" spans="15:51">
      <c r="O21" s="1040"/>
      <c r="AY21" s="42">
        <v>0</v>
      </c>
    </row>
    <row r="22" hidden="1" customHeight="1" spans="15:51">
      <c r="O22" s="1040"/>
      <c r="AY22" s="42">
        <v>0</v>
      </c>
    </row>
    <row r="23" ht="14.7" customHeight="1" spans="17:51">
      <c r="Q23" s="50"/>
      <c r="R23" s="50"/>
      <c r="S23" s="51"/>
      <c r="T23" s="52"/>
      <c r="U23" s="52"/>
      <c r="AY23" s="42">
        <v>14</v>
      </c>
    </row>
    <row r="24" ht="26.25" customHeight="1" spans="17:51">
      <c r="Q24" s="50"/>
      <c r="R24" s="50"/>
      <c r="S24" s="75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750"/>
      <c r="U24" s="750"/>
      <c r="V24" s="750"/>
      <c r="W24" s="750"/>
      <c r="X24" s="750"/>
      <c r="Y24" s="750"/>
      <c r="Z24" s="750"/>
      <c r="AA24" s="750"/>
      <c r="AB24" s="750"/>
      <c r="AC24" s="750"/>
      <c r="AD24" s="750"/>
      <c r="AE24" s="750"/>
      <c r="AF24" s="750"/>
      <c r="AG24" s="750"/>
      <c r="AH24" s="750"/>
      <c r="AI24" s="750"/>
      <c r="AJ24" s="750"/>
      <c r="AK24" s="750"/>
      <c r="AL24" s="750"/>
      <c r="AM24" s="750"/>
      <c r="AN24" s="750"/>
      <c r="AO24" s="750"/>
      <c r="AP24" s="750"/>
      <c r="AQ24" s="120"/>
      <c r="AY24" s="42">
        <v>25</v>
      </c>
    </row>
    <row r="25" ht="14.7" customHeight="1" spans="17:51">
      <c r="Q25" s="50"/>
      <c r="R25" s="50"/>
      <c r="S25" s="657" t="str">
        <f>IF(org=0,"Не определено",org)</f>
        <v>АО "ОЭЗ ППТ "Алабуга"</v>
      </c>
      <c r="T25" s="657"/>
      <c r="U25" s="657"/>
      <c r="V25" s="657"/>
      <c r="W25" s="657"/>
      <c r="X25" s="657"/>
      <c r="Y25" s="657"/>
      <c r="Z25" s="657"/>
      <c r="AA25" s="657"/>
      <c r="AB25" s="657"/>
      <c r="AC25" s="657"/>
      <c r="AD25" s="657"/>
      <c r="AE25" s="657"/>
      <c r="AF25" s="657"/>
      <c r="AG25" s="657"/>
      <c r="AH25" s="657"/>
      <c r="AI25" s="657"/>
      <c r="AJ25" s="657"/>
      <c r="AK25" s="657"/>
      <c r="AL25" s="657"/>
      <c r="AM25" s="657"/>
      <c r="AN25" s="657"/>
      <c r="AO25" s="657"/>
      <c r="AP25" s="657"/>
      <c r="AQ25" s="120"/>
      <c r="AY25" s="42">
        <v>14</v>
      </c>
    </row>
    <row r="26" customHeight="1" spans="17:51">
      <c r="Q26" s="50"/>
      <c r="R26" s="50"/>
      <c r="S26" s="51"/>
      <c r="T26" s="52"/>
      <c r="U26" s="52"/>
      <c r="V26" s="55"/>
      <c r="W26" s="55"/>
      <c r="X26" s="55"/>
      <c r="Y26" s="55"/>
      <c r="Z26" s="55"/>
      <c r="AA26" s="55"/>
      <c r="AB26" s="55"/>
      <c r="AC26" s="55"/>
      <c r="AD26" s="55"/>
      <c r="AE26" s="55"/>
      <c r="AF26" s="55"/>
      <c r="AG26" s="55"/>
      <c r="AH26" s="55"/>
      <c r="AI26" s="55"/>
      <c r="AJ26" s="55"/>
      <c r="AK26" s="55"/>
      <c r="AL26" s="55"/>
      <c r="AM26" s="55"/>
      <c r="AN26" s="55"/>
      <c r="AO26" s="55"/>
      <c r="AP26" s="55"/>
      <c r="AQ26" s="55"/>
      <c r="AY26" s="42">
        <v>0</v>
      </c>
    </row>
    <row r="27" s="35" customFormat="1" ht="25.5" customHeight="1" spans="1:51">
      <c r="A27" s="44"/>
      <c r="B27" s="44"/>
      <c r="C27" s="44"/>
      <c r="D27" s="44"/>
      <c r="E27" s="44"/>
      <c r="F27" s="44"/>
      <c r="G27" s="44"/>
      <c r="H27" s="44"/>
      <c r="I27" s="44"/>
      <c r="J27" s="44"/>
      <c r="K27" s="44"/>
      <c r="L27" s="1040"/>
      <c r="M27" s="44"/>
      <c r="N27" s="44"/>
      <c r="O27" s="44"/>
      <c r="S27" s="57" t="s">
        <v>42</v>
      </c>
      <c r="T27" s="57"/>
      <c r="U27" s="1074"/>
      <c r="V27" s="59" t="str">
        <f>IF(TITLE_NAME_OR_PR_CHANGE="",IF(TITLE_NAME_OR_PR="","",TITLE_NAME_OR_PR),TITLE_NAME_OR_PR_CHANGE)</f>
        <v>Государственный комитет РТ по тарифам</v>
      </c>
      <c r="W27" s="59"/>
      <c r="X27" s="59"/>
      <c r="Y27" s="59"/>
      <c r="Z27" s="59"/>
      <c r="AA27" s="59"/>
      <c r="AB27" s="59"/>
      <c r="AC27" s="59"/>
      <c r="AD27" s="59"/>
      <c r="AE27" s="59"/>
      <c r="AF27" s="42"/>
      <c r="AG27" s="59" t="str">
        <f>IF(TITLE_NAME_OR_PR_CHANGE="",IF(TITLE_NAME_OR_PR="","",TITLE_NAME_OR_PR),TITLE_NAME_OR_PR_CHANGE)</f>
        <v>Государственный комитет РТ по тарифам</v>
      </c>
      <c r="AH27" s="59"/>
      <c r="AI27" s="59"/>
      <c r="AJ27" s="59"/>
      <c r="AK27" s="59"/>
      <c r="AL27" s="59"/>
      <c r="AM27" s="59"/>
      <c r="AN27" s="59"/>
      <c r="AO27" s="59"/>
      <c r="AP27" s="59"/>
      <c r="AQ27" s="42"/>
      <c r="AR27" s="42"/>
      <c r="AS27" s="121"/>
      <c r="AT27" s="150"/>
      <c r="AU27" s="150"/>
      <c r="AV27" s="150"/>
      <c r="AW27" s="150"/>
      <c r="AX27" s="150"/>
      <c r="AY27" s="35">
        <v>0</v>
      </c>
    </row>
    <row r="28" s="35" customFormat="1" ht="18.75" customHeight="1" spans="1:51">
      <c r="A28" s="44"/>
      <c r="B28" s="44"/>
      <c r="C28" s="44"/>
      <c r="D28" s="44"/>
      <c r="E28" s="44"/>
      <c r="F28" s="44"/>
      <c r="G28" s="44"/>
      <c r="H28" s="44"/>
      <c r="I28" s="44"/>
      <c r="J28" s="44"/>
      <c r="K28" s="44"/>
      <c r="L28" s="1040"/>
      <c r="M28" s="44"/>
      <c r="N28" s="44"/>
      <c r="O28" s="44"/>
      <c r="S28" s="57" t="s">
        <v>426</v>
      </c>
      <c r="T28" s="57"/>
      <c r="U28" s="1074"/>
      <c r="V28" s="788">
        <f>IF(TITLE_DATE_PR_CHANGE="",IF(TITLE_DATE_PR="","",TITLE_DATE_PR),TITLE_DATE_PR_CHANGE)</f>
        <v>45525</v>
      </c>
      <c r="W28" s="788"/>
      <c r="X28" s="788"/>
      <c r="Y28" s="788"/>
      <c r="Z28" s="788"/>
      <c r="AA28" s="788"/>
      <c r="AB28" s="788"/>
      <c r="AC28" s="788"/>
      <c r="AD28" s="788"/>
      <c r="AE28" s="788"/>
      <c r="AF28" s="42"/>
      <c r="AG28" s="788">
        <f>IF(TITLE_DATE_PR_CHANGE="",IF(TITLE_DATE_PR="","",TITLE_DATE_PR),TITLE_DATE_PR_CHANGE)</f>
        <v>45525</v>
      </c>
      <c r="AH28" s="788"/>
      <c r="AI28" s="788"/>
      <c r="AJ28" s="788"/>
      <c r="AK28" s="788"/>
      <c r="AL28" s="788"/>
      <c r="AM28" s="788"/>
      <c r="AN28" s="788"/>
      <c r="AO28" s="788"/>
      <c r="AP28" s="788"/>
      <c r="AQ28" s="42"/>
      <c r="AR28" s="42"/>
      <c r="AS28" s="121"/>
      <c r="AT28" s="150"/>
      <c r="AU28" s="150"/>
      <c r="AV28" s="150"/>
      <c r="AW28" s="150"/>
      <c r="AX28" s="150"/>
      <c r="AY28" s="35">
        <v>0</v>
      </c>
    </row>
    <row r="29" s="35" customFormat="1" ht="18.75" customHeight="1" spans="1:51">
      <c r="A29" s="44"/>
      <c r="B29" s="44"/>
      <c r="C29" s="44"/>
      <c r="D29" s="44"/>
      <c r="E29" s="44"/>
      <c r="F29" s="44"/>
      <c r="G29" s="44"/>
      <c r="H29" s="44"/>
      <c r="I29" s="44"/>
      <c r="J29" s="44"/>
      <c r="K29" s="44"/>
      <c r="L29" s="1040"/>
      <c r="M29" s="44"/>
      <c r="N29" s="44"/>
      <c r="O29" s="44"/>
      <c r="S29" s="57" t="s">
        <v>427</v>
      </c>
      <c r="T29" s="57"/>
      <c r="U29" s="1074"/>
      <c r="V29" s="59" t="str">
        <f>IF(TITLE_NUMBER_PR_CHANGE="",IF(TITLE_NUMBER_PR="","",TITLE_NUMBER_PR),TITLE_NUMBER_PR_CHANGE)</f>
        <v>108-73/тп-2024</v>
      </c>
      <c r="W29" s="59"/>
      <c r="X29" s="59"/>
      <c r="Y29" s="59"/>
      <c r="Z29" s="59"/>
      <c r="AA29" s="59"/>
      <c r="AB29" s="59"/>
      <c r="AC29" s="59"/>
      <c r="AD29" s="59"/>
      <c r="AE29" s="59"/>
      <c r="AF29" s="42"/>
      <c r="AG29" s="59" t="str">
        <f>IF(TITLE_NUMBER_PR_CHANGE="",IF(TITLE_NUMBER_PR="","",TITLE_NUMBER_PR),TITLE_NUMBER_PR_CHANGE)</f>
        <v>108-73/тп-2024</v>
      </c>
      <c r="AH29" s="59"/>
      <c r="AI29" s="59"/>
      <c r="AJ29" s="59"/>
      <c r="AK29" s="59"/>
      <c r="AL29" s="59"/>
      <c r="AM29" s="59"/>
      <c r="AN29" s="59"/>
      <c r="AO29" s="59"/>
      <c r="AP29" s="59"/>
      <c r="AQ29" s="42"/>
      <c r="AR29" s="42"/>
      <c r="AS29" s="121"/>
      <c r="AT29" s="150"/>
      <c r="AU29" s="150"/>
      <c r="AV29" s="150"/>
      <c r="AW29" s="150"/>
      <c r="AX29" s="150"/>
      <c r="AY29" s="35">
        <v>0</v>
      </c>
    </row>
    <row r="30" s="35" customFormat="1" ht="18.75" customHeight="1" spans="1:51">
      <c r="A30" s="44"/>
      <c r="B30" s="44"/>
      <c r="C30" s="44"/>
      <c r="D30" s="44"/>
      <c r="E30" s="44"/>
      <c r="F30" s="44"/>
      <c r="G30" s="44"/>
      <c r="H30" s="44"/>
      <c r="I30" s="44"/>
      <c r="J30" s="44"/>
      <c r="K30" s="44"/>
      <c r="L30" s="1040"/>
      <c r="M30" s="44"/>
      <c r="N30" s="44"/>
      <c r="O30" s="44"/>
      <c r="S30" s="57" t="s">
        <v>44</v>
      </c>
      <c r="T30" s="57"/>
      <c r="U30" s="1074"/>
      <c r="V30" s="59" t="str">
        <f>IF(TITLE_IST_PUB_CHANGE="",IF(TITLE_IST_PUB="","",TITLE_IST_PUB),TITLE_IST_PUB_CHANGE)</f>
        <v>"Официальный портал правовой информации
Республики Татарстан"</v>
      </c>
      <c r="W30" s="59"/>
      <c r="X30" s="59"/>
      <c r="Y30" s="59"/>
      <c r="Z30" s="59"/>
      <c r="AA30" s="59"/>
      <c r="AB30" s="59"/>
      <c r="AC30" s="59"/>
      <c r="AD30" s="59"/>
      <c r="AE30" s="59"/>
      <c r="AF30" s="42"/>
      <c r="AG30" s="59" t="str">
        <f>IF(TITLE_IST_PUB_CHANGE="",IF(TITLE_IST_PUB="","",TITLE_IST_PUB),TITLE_IST_PUB_CHANGE)</f>
        <v>"Официальный портал правовой информации
Республики Татарстан"</v>
      </c>
      <c r="AH30" s="59"/>
      <c r="AI30" s="59"/>
      <c r="AJ30" s="59"/>
      <c r="AK30" s="59"/>
      <c r="AL30" s="59"/>
      <c r="AM30" s="59"/>
      <c r="AN30" s="59"/>
      <c r="AO30" s="59"/>
      <c r="AP30" s="59"/>
      <c r="AQ30" s="42"/>
      <c r="AR30" s="42"/>
      <c r="AS30" s="121"/>
      <c r="AT30" s="150"/>
      <c r="AU30" s="150"/>
      <c r="AV30" s="150"/>
      <c r="AW30" s="150"/>
      <c r="AX30" s="150"/>
      <c r="AY30" s="35">
        <v>0</v>
      </c>
    </row>
    <row r="31" hidden="1" customHeight="1" spans="17:51">
      <c r="Q31" s="50"/>
      <c r="R31" s="50"/>
      <c r="S31" s="51"/>
      <c r="T31" s="52"/>
      <c r="U31" s="52"/>
      <c r="V31" s="55"/>
      <c r="W31" s="55"/>
      <c r="X31" s="55"/>
      <c r="Y31" s="55"/>
      <c r="Z31" s="55"/>
      <c r="AA31" s="55"/>
      <c r="AB31" s="55"/>
      <c r="AC31" s="55"/>
      <c r="AD31" s="55"/>
      <c r="AE31" s="55"/>
      <c r="AF31" s="55"/>
      <c r="AG31" s="55"/>
      <c r="AH31" s="55"/>
      <c r="AI31" s="55"/>
      <c r="AJ31" s="55"/>
      <c r="AK31" s="55"/>
      <c r="AL31" s="55"/>
      <c r="AM31" s="55"/>
      <c r="AN31" s="55"/>
      <c r="AO31" s="55"/>
      <c r="AP31" s="55"/>
      <c r="AQ31" s="55"/>
      <c r="AY31" s="42">
        <v>0</v>
      </c>
    </row>
    <row r="32" s="35" customFormat="1" ht="18.75" hidden="1" customHeight="1" spans="1:51">
      <c r="A32" s="44"/>
      <c r="B32" s="44"/>
      <c r="C32" s="44"/>
      <c r="D32" s="44"/>
      <c r="E32" s="44"/>
      <c r="F32" s="44"/>
      <c r="G32" s="44"/>
      <c r="H32" s="44"/>
      <c r="I32" s="44"/>
      <c r="J32" s="44"/>
      <c r="K32" s="44"/>
      <c r="L32" s="1040"/>
      <c r="M32" s="44"/>
      <c r="N32" s="44"/>
      <c r="O32" s="44"/>
      <c r="S32" s="57" t="s">
        <v>428</v>
      </c>
      <c r="T32" s="57"/>
      <c r="U32" s="1074"/>
      <c r="V32" s="788">
        <f>IF(TITLE_DATE_PR_CHANGE="",IF(TITLE_DATE_PR="","",TITLE_DATE_PR),TITLE_DATE_PR_CHANGE)</f>
        <v>45525</v>
      </c>
      <c r="W32" s="788"/>
      <c r="X32" s="788"/>
      <c r="Y32" s="788"/>
      <c r="Z32" s="788"/>
      <c r="AA32" s="788"/>
      <c r="AB32" s="788"/>
      <c r="AC32" s="788"/>
      <c r="AD32" s="788"/>
      <c r="AE32" s="788"/>
      <c r="AF32" s="42"/>
      <c r="AG32" s="788">
        <f>IF(TITLE_DATE_PR_CHANGE="",IF(TITLE_DATE_PR="","",TITLE_DATE_PR),TITLE_DATE_PR_CHANGE)</f>
        <v>45525</v>
      </c>
      <c r="AH32" s="788"/>
      <c r="AI32" s="788"/>
      <c r="AJ32" s="788"/>
      <c r="AK32" s="788"/>
      <c r="AL32" s="788"/>
      <c r="AM32" s="788"/>
      <c r="AN32" s="788"/>
      <c r="AO32" s="788"/>
      <c r="AP32" s="788"/>
      <c r="AQ32" s="42"/>
      <c r="AR32" s="42"/>
      <c r="AS32" s="121"/>
      <c r="AT32" s="150"/>
      <c r="AU32" s="150"/>
      <c r="AV32" s="150"/>
      <c r="AW32" s="150"/>
      <c r="AX32" s="150"/>
      <c r="AY32" s="35">
        <v>0</v>
      </c>
    </row>
    <row r="33" s="35" customFormat="1" ht="18.75" hidden="1" customHeight="1" spans="1:51">
      <c r="A33" s="44"/>
      <c r="B33" s="44"/>
      <c r="C33" s="44"/>
      <c r="D33" s="44"/>
      <c r="E33" s="44"/>
      <c r="F33" s="44"/>
      <c r="G33" s="44"/>
      <c r="H33" s="44"/>
      <c r="I33" s="44"/>
      <c r="J33" s="44"/>
      <c r="K33" s="44"/>
      <c r="L33" s="1040"/>
      <c r="M33" s="44"/>
      <c r="N33" s="44"/>
      <c r="O33" s="44"/>
      <c r="S33" s="57" t="s">
        <v>429</v>
      </c>
      <c r="T33" s="57"/>
      <c r="U33" s="1074"/>
      <c r="V33" s="59" t="str">
        <f>IF(TITLE_NUMBER_PR_CHANGE="",IF(TITLE_NUMBER_PR="","",TITLE_NUMBER_PR),TITLE_NUMBER_PR_CHANGE)</f>
        <v>108-73/тп-2024</v>
      </c>
      <c r="W33" s="59"/>
      <c r="X33" s="59"/>
      <c r="Y33" s="59"/>
      <c r="Z33" s="59"/>
      <c r="AA33" s="59"/>
      <c r="AB33" s="59"/>
      <c r="AC33" s="59"/>
      <c r="AD33" s="59"/>
      <c r="AE33" s="59"/>
      <c r="AF33" s="42"/>
      <c r="AG33" s="59" t="str">
        <f>IF(TITLE_NUMBER_PR_CHANGE="",IF(TITLE_NUMBER_PR="","",TITLE_NUMBER_PR),TITLE_NUMBER_PR_CHANGE)</f>
        <v>108-73/тп-2024</v>
      </c>
      <c r="AH33" s="59"/>
      <c r="AI33" s="59"/>
      <c r="AJ33" s="59"/>
      <c r="AK33" s="59"/>
      <c r="AL33" s="59"/>
      <c r="AM33" s="59"/>
      <c r="AN33" s="59"/>
      <c r="AO33" s="59"/>
      <c r="AP33" s="59"/>
      <c r="AQ33" s="42"/>
      <c r="AR33" s="42"/>
      <c r="AS33" s="121"/>
      <c r="AT33" s="150"/>
      <c r="AU33" s="150"/>
      <c r="AV33" s="150"/>
      <c r="AW33" s="150"/>
      <c r="AX33" s="150"/>
      <c r="AY33" s="35">
        <v>0</v>
      </c>
    </row>
    <row r="34" s="35" customFormat="1" ht="1.05" customHeight="1" spans="1:51">
      <c r="A34" s="44"/>
      <c r="B34" s="44"/>
      <c r="C34" s="44"/>
      <c r="D34" s="44"/>
      <c r="E34" s="44"/>
      <c r="F34" s="44"/>
      <c r="G34" s="44"/>
      <c r="H34" s="44"/>
      <c r="I34" s="44"/>
      <c r="J34" s="44"/>
      <c r="K34" s="44"/>
      <c r="L34" s="1040"/>
      <c r="M34" s="44"/>
      <c r="N34" s="44"/>
      <c r="O34" s="44"/>
      <c r="S34" s="42"/>
      <c r="T34" s="42"/>
      <c r="U34" s="60"/>
      <c r="V34" s="42"/>
      <c r="W34" s="42"/>
      <c r="X34" s="42"/>
      <c r="Y34" s="42"/>
      <c r="Z34" s="42"/>
      <c r="AA34" s="42"/>
      <c r="AB34" s="42"/>
      <c r="AC34" s="42"/>
      <c r="AD34" s="42"/>
      <c r="AE34" s="42"/>
      <c r="AF34" s="43" t="s">
        <v>430</v>
      </c>
      <c r="AG34" s="42"/>
      <c r="AH34" s="42"/>
      <c r="AI34" s="42"/>
      <c r="AJ34" s="42"/>
      <c r="AK34" s="42"/>
      <c r="AL34" s="42"/>
      <c r="AM34" s="42"/>
      <c r="AN34" s="42"/>
      <c r="AO34" s="42"/>
      <c r="AP34" s="42"/>
      <c r="AQ34" s="43" t="s">
        <v>430</v>
      </c>
      <c r="AT34" s="150"/>
      <c r="AU34" s="150"/>
      <c r="AV34" s="150"/>
      <c r="AW34" s="150"/>
      <c r="AX34" s="150"/>
      <c r="AY34" s="35">
        <v>1</v>
      </c>
    </row>
    <row r="35" ht="14.7" customHeight="1" spans="17:51">
      <c r="Q35" s="50"/>
      <c r="R35" s="50"/>
      <c r="S35" s="51"/>
      <c r="T35" s="52"/>
      <c r="U35" s="61"/>
      <c r="V35" s="62"/>
      <c r="W35" s="62"/>
      <c r="X35" s="62"/>
      <c r="Y35" s="62"/>
      <c r="Z35" s="62"/>
      <c r="AA35" s="62"/>
      <c r="AB35" s="62"/>
      <c r="AC35" s="62"/>
      <c r="AD35" s="62"/>
      <c r="AE35" s="62"/>
      <c r="AF35" s="62"/>
      <c r="AG35" s="62"/>
      <c r="AH35" s="62"/>
      <c r="AI35" s="62"/>
      <c r="AJ35" s="62"/>
      <c r="AK35" s="62"/>
      <c r="AL35" s="62"/>
      <c r="AM35" s="62"/>
      <c r="AN35" s="62"/>
      <c r="AO35" s="62"/>
      <c r="AP35" s="62"/>
      <c r="AQ35" s="62"/>
      <c r="AY35" s="42">
        <v>14</v>
      </c>
    </row>
    <row r="36" ht="14.7" customHeight="1" spans="17:51">
      <c r="Q36" s="50"/>
      <c r="R36" s="50"/>
      <c r="S36" s="63" t="s">
        <v>305</v>
      </c>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t="s">
        <v>306</v>
      </c>
      <c r="AY36" s="42">
        <v>14</v>
      </c>
    </row>
    <row r="37" ht="14.7" customHeight="1" spans="17:51">
      <c r="Q37" s="50"/>
      <c r="R37" s="50"/>
      <c r="S37" s="64" t="s">
        <v>89</v>
      </c>
      <c r="T37" s="65" t="s">
        <v>431</v>
      </c>
      <c r="U37" s="66"/>
      <c r="V37" s="67" t="s">
        <v>432</v>
      </c>
      <c r="W37" s="68"/>
      <c r="X37" s="68"/>
      <c r="Y37" s="68"/>
      <c r="Z37" s="68"/>
      <c r="AA37" s="68"/>
      <c r="AB37" s="68"/>
      <c r="AC37" s="68"/>
      <c r="AD37" s="68"/>
      <c r="AE37" s="122"/>
      <c r="AF37" s="123" t="s">
        <v>433</v>
      </c>
      <c r="AG37" s="67" t="s">
        <v>432</v>
      </c>
      <c r="AH37" s="68"/>
      <c r="AI37" s="68"/>
      <c r="AJ37" s="68"/>
      <c r="AK37" s="68"/>
      <c r="AL37" s="68"/>
      <c r="AM37" s="68"/>
      <c r="AN37" s="68"/>
      <c r="AO37" s="68"/>
      <c r="AP37" s="122"/>
      <c r="AQ37" s="123" t="s">
        <v>434</v>
      </c>
      <c r="AR37" s="124" t="s">
        <v>435</v>
      </c>
      <c r="AS37" s="63"/>
      <c r="AY37" s="42">
        <v>14</v>
      </c>
    </row>
    <row r="38" s="42" customFormat="1" ht="19.95" customHeight="1" spans="1:51">
      <c r="A38" s="37"/>
      <c r="B38" s="37"/>
      <c r="C38" s="37"/>
      <c r="D38" s="37"/>
      <c r="E38" s="37"/>
      <c r="F38" s="37"/>
      <c r="G38" s="37"/>
      <c r="H38" s="37"/>
      <c r="I38" s="37"/>
      <c r="J38" s="37"/>
      <c r="K38" s="37"/>
      <c r="L38" s="47"/>
      <c r="M38" s="38"/>
      <c r="N38" s="38"/>
      <c r="O38" s="38"/>
      <c r="P38" s="39"/>
      <c r="Q38" s="50"/>
      <c r="R38" s="50"/>
      <c r="S38" s="64"/>
      <c r="T38" s="65"/>
      <c r="U38" s="69"/>
      <c r="V38" s="63" t="s">
        <v>542</v>
      </c>
      <c r="W38" s="1116" t="s">
        <v>543</v>
      </c>
      <c r="X38" s="1116"/>
      <c r="Y38" s="1116"/>
      <c r="Z38" s="1116" t="s">
        <v>544</v>
      </c>
      <c r="AA38" s="1116"/>
      <c r="AB38" s="1116"/>
      <c r="AC38" s="892" t="s">
        <v>439</v>
      </c>
      <c r="AD38" s="1086"/>
      <c r="AE38" s="893"/>
      <c r="AF38" s="128"/>
      <c r="AG38" s="63" t="s">
        <v>542</v>
      </c>
      <c r="AH38" s="1116" t="s">
        <v>543</v>
      </c>
      <c r="AI38" s="1116"/>
      <c r="AJ38" s="1116"/>
      <c r="AK38" s="1116" t="s">
        <v>544</v>
      </c>
      <c r="AL38" s="1116"/>
      <c r="AM38" s="1116"/>
      <c r="AN38" s="892" t="s">
        <v>439</v>
      </c>
      <c r="AO38" s="1086"/>
      <c r="AP38" s="893"/>
      <c r="AQ38" s="128"/>
      <c r="AR38" s="129"/>
      <c r="AS38" s="63"/>
      <c r="AT38" s="43"/>
      <c r="AU38" s="43"/>
      <c r="AV38" s="43"/>
      <c r="AW38" s="43"/>
      <c r="AX38" s="43"/>
      <c r="AY38" s="42">
        <v>19</v>
      </c>
    </row>
    <row r="39" ht="19.95" customHeight="1" spans="17:51">
      <c r="Q39" s="50"/>
      <c r="R39" s="50"/>
      <c r="S39" s="64"/>
      <c r="T39" s="65"/>
      <c r="U39" s="69"/>
      <c r="V39" s="63"/>
      <c r="W39" s="1116" t="s">
        <v>545</v>
      </c>
      <c r="X39" s="1116" t="s">
        <v>546</v>
      </c>
      <c r="Y39" s="1116"/>
      <c r="Z39" s="1116" t="s">
        <v>547</v>
      </c>
      <c r="AA39" s="1116" t="s">
        <v>546</v>
      </c>
      <c r="AB39" s="1116"/>
      <c r="AC39" s="896"/>
      <c r="AD39" s="1089"/>
      <c r="AE39" s="897"/>
      <c r="AF39" s="128"/>
      <c r="AG39" s="63"/>
      <c r="AH39" s="1116" t="s">
        <v>545</v>
      </c>
      <c r="AI39" s="1116" t="s">
        <v>546</v>
      </c>
      <c r="AJ39" s="1116"/>
      <c r="AK39" s="1116" t="s">
        <v>547</v>
      </c>
      <c r="AL39" s="1116" t="s">
        <v>546</v>
      </c>
      <c r="AM39" s="1116"/>
      <c r="AN39" s="896"/>
      <c r="AO39" s="1089"/>
      <c r="AP39" s="897"/>
      <c r="AQ39" s="128"/>
      <c r="AR39" s="129"/>
      <c r="AS39" s="63"/>
      <c r="AY39" s="42">
        <v>19</v>
      </c>
    </row>
    <row r="40" ht="61.95" customHeight="1" spans="1:51">
      <c r="A40" s="44"/>
      <c r="B40" s="44" t="s">
        <v>137</v>
      </c>
      <c r="C40" s="44" t="s">
        <v>138</v>
      </c>
      <c r="D40" s="44" t="s">
        <v>139</v>
      </c>
      <c r="E40" s="1040" t="s">
        <v>440</v>
      </c>
      <c r="F40" s="1040" t="s">
        <v>441</v>
      </c>
      <c r="G40" s="1040" t="s">
        <v>442</v>
      </c>
      <c r="H40" s="1040"/>
      <c r="I40" s="1040" t="s">
        <v>492</v>
      </c>
      <c r="J40" s="1040" t="s">
        <v>445</v>
      </c>
      <c r="K40" s="1040" t="s">
        <v>493</v>
      </c>
      <c r="L40" s="1040" t="s">
        <v>421</v>
      </c>
      <c r="Q40" s="50"/>
      <c r="R40" s="50"/>
      <c r="S40" s="64"/>
      <c r="T40" s="65"/>
      <c r="U40" s="71"/>
      <c r="V40" s="63"/>
      <c r="W40" s="1116"/>
      <c r="X40" s="1116" t="s">
        <v>548</v>
      </c>
      <c r="Y40" s="1116" t="s">
        <v>549</v>
      </c>
      <c r="Z40" s="1116"/>
      <c r="AA40" s="1116" t="s">
        <v>550</v>
      </c>
      <c r="AB40" s="1116" t="s">
        <v>551</v>
      </c>
      <c r="AC40" s="130" t="s">
        <v>449</v>
      </c>
      <c r="AD40" s="131" t="s">
        <v>450</v>
      </c>
      <c r="AE40" s="132"/>
      <c r="AF40" s="133"/>
      <c r="AG40" s="63"/>
      <c r="AH40" s="1116"/>
      <c r="AI40" s="1116" t="s">
        <v>548</v>
      </c>
      <c r="AJ40" s="1116" t="s">
        <v>549</v>
      </c>
      <c r="AK40" s="1116"/>
      <c r="AL40" s="1116" t="s">
        <v>550</v>
      </c>
      <c r="AM40" s="1116" t="s">
        <v>551</v>
      </c>
      <c r="AN40" s="130" t="s">
        <v>449</v>
      </c>
      <c r="AO40" s="131" t="s">
        <v>450</v>
      </c>
      <c r="AP40" s="132"/>
      <c r="AQ40" s="133"/>
      <c r="AR40" s="134"/>
      <c r="AS40" s="63"/>
      <c r="AY40" s="42">
        <v>59</v>
      </c>
    </row>
    <row r="41" s="36" customFormat="1" ht="11.25" hidden="1" customHeight="1" spans="1:51">
      <c r="A41" s="44"/>
      <c r="B41" s="44"/>
      <c r="C41" s="44"/>
      <c r="D41" s="44"/>
      <c r="E41" s="44"/>
      <c r="F41" s="44"/>
      <c r="G41" s="44"/>
      <c r="H41" s="44"/>
      <c r="I41" s="44"/>
      <c r="J41" s="44"/>
      <c r="K41" s="44"/>
      <c r="L41" s="1040"/>
      <c r="M41" s="38"/>
      <c r="N41" s="38"/>
      <c r="O41" s="38"/>
      <c r="P41" s="73"/>
      <c r="Q41" s="74"/>
      <c r="R41" s="75">
        <v>1</v>
      </c>
      <c r="S41" s="76" t="s">
        <v>111</v>
      </c>
      <c r="T41" s="77" t="s">
        <v>112</v>
      </c>
      <c r="U41" s="78" t="str">
        <f ca="1">OFFSET(U41,0,-1)</f>
        <v>2</v>
      </c>
      <c r="V41" s="79">
        <f ca="1">OFFSET(V41,0,-1)+1</f>
        <v>3</v>
      </c>
      <c r="W41" s="79"/>
      <c r="X41" s="79"/>
      <c r="Y41" s="79"/>
      <c r="Z41" s="79"/>
      <c r="AA41" s="79"/>
      <c r="AB41" s="79">
        <f ca="1">OFFSET(AB41,0,-1)+1</f>
        <v>1</v>
      </c>
      <c r="AC41" s="79">
        <f ca="1">OFFSET(AC41,0,-1)+1</f>
        <v>2</v>
      </c>
      <c r="AD41" s="79">
        <f ca="1">OFFSET(AD41,0,-1)+1</f>
        <v>3</v>
      </c>
      <c r="AE41" s="79"/>
      <c r="AF41" s="79">
        <f ca="1">OFFSET(AF41,0,-2)+1</f>
        <v>4</v>
      </c>
      <c r="AG41" s="79">
        <f ca="1">OFFSET(AG41,0,-1)+1</f>
        <v>5</v>
      </c>
      <c r="AH41" s="79"/>
      <c r="AI41" s="79"/>
      <c r="AJ41" s="79"/>
      <c r="AK41" s="79"/>
      <c r="AL41" s="79"/>
      <c r="AM41" s="79">
        <f ca="1">OFFSET(AM41,0,-1)+1</f>
        <v>1</v>
      </c>
      <c r="AN41" s="79">
        <f ca="1">OFFSET(AN41,0,-1)+1</f>
        <v>2</v>
      </c>
      <c r="AO41" s="79">
        <f ca="1">OFFSET(AO41,0,-1)+1</f>
        <v>3</v>
      </c>
      <c r="AP41" s="79"/>
      <c r="AQ41" s="79">
        <f ca="1">OFFSET(AQ41,0,-2)+1</f>
        <v>4</v>
      </c>
      <c r="AR41" s="78">
        <f ca="1">OFFSET(AR41,0,-1)</f>
        <v>4</v>
      </c>
      <c r="AS41" s="79">
        <f ca="1">OFFSET(AS41,0,-1)+1</f>
        <v>5</v>
      </c>
      <c r="AT41" s="43"/>
      <c r="AU41" s="43"/>
      <c r="AV41" s="43"/>
      <c r="AW41" s="43"/>
      <c r="AX41" s="43"/>
      <c r="AY41" s="36">
        <v>0</v>
      </c>
    </row>
    <row r="42" ht="24" customHeight="1" spans="1:51">
      <c r="A42" s="45" t="s">
        <v>261</v>
      </c>
      <c r="B42" s="45"/>
      <c r="C42" s="45"/>
      <c r="D42" s="45"/>
      <c r="E42" s="1038">
        <v>1</v>
      </c>
      <c r="F42" s="45"/>
      <c r="G42" s="45"/>
      <c r="H42" s="45"/>
      <c r="I42" s="45"/>
      <c r="J42" s="45"/>
      <c r="K42" s="45"/>
      <c r="L42" s="1040"/>
      <c r="M42" s="46"/>
      <c r="N42" s="46"/>
      <c r="O42" s="46"/>
      <c r="Q42" s="80"/>
      <c r="R42" s="81"/>
      <c r="S42" s="64">
        <f>INDEX(PT_DIFFERENTIATION_NUM_NTAR,MATCH(A42,PT_DIFFERENTIATION_NTAR_ID,0))</f>
        <v>0</v>
      </c>
      <c r="T42" s="82" t="s">
        <v>125</v>
      </c>
      <c r="U42" s="83"/>
      <c r="V42" s="1076"/>
      <c r="W42" s="1047"/>
      <c r="X42" s="1047"/>
      <c r="Y42" s="1047"/>
      <c r="Z42" s="1047"/>
      <c r="AA42" s="1047"/>
      <c r="AB42" s="1047"/>
      <c r="AC42" s="1047"/>
      <c r="AD42" s="1047"/>
      <c r="AE42" s="1047"/>
      <c r="AF42" s="1075"/>
      <c r="AG42" s="1076" t="str">
        <f>INDEX(PT_DIFFERENTIATION_NTAR,MATCH(A42,PT_DIFFERENTIATION_NTAR_ID,0))</f>
        <v/>
      </c>
      <c r="AH42" s="1047"/>
      <c r="AI42" s="1047"/>
      <c r="AJ42" s="1047"/>
      <c r="AK42" s="1047"/>
      <c r="AL42" s="1047"/>
      <c r="AM42" s="1047"/>
      <c r="AN42" s="1047"/>
      <c r="AO42" s="1047"/>
      <c r="AP42" s="1047"/>
      <c r="AQ42" s="1047"/>
      <c r="AR42" s="1075"/>
      <c r="AS4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150"/>
      <c r="AV42" s="150" t="str">
        <f t="shared" ref="AV42:AV54" si="1">IF(T42="","",T42)</f>
        <v>Наименование тарифа</v>
      </c>
      <c r="AW42" s="150"/>
      <c r="AX42" s="150"/>
      <c r="AY42" s="42">
        <v>23</v>
      </c>
    </row>
    <row r="43" ht="24" customHeight="1" spans="1:51">
      <c r="A43" s="45" t="s">
        <v>261</v>
      </c>
      <c r="B43" s="45" t="s">
        <v>262</v>
      </c>
      <c r="C43" s="45"/>
      <c r="D43" s="45"/>
      <c r="E43" s="1039"/>
      <c r="F43" s="1038">
        <v>1</v>
      </c>
      <c r="G43" s="45"/>
      <c r="H43" s="45"/>
      <c r="I43" s="45"/>
      <c r="J43" s="45"/>
      <c r="K43" s="45"/>
      <c r="L43" s="1040"/>
      <c r="M43" s="46"/>
      <c r="N43" s="46"/>
      <c r="O43" s="46"/>
      <c r="P43" s="85"/>
      <c r="Q43" s="86"/>
      <c r="R43" s="87"/>
      <c r="S43" s="64" t="str">
        <f>INDEX(PT_DIFFERENTIATION_NUM_TER,MATCH(B43,PT_DIFFERENTIATION_TER_ID,0))</f>
        <v>.</v>
      </c>
      <c r="T43" s="88" t="s">
        <v>402</v>
      </c>
      <c r="U43" s="83"/>
      <c r="V43" s="1076"/>
      <c r="W43" s="1047"/>
      <c r="X43" s="1047"/>
      <c r="Y43" s="1047"/>
      <c r="Z43" s="1047"/>
      <c r="AA43" s="1047"/>
      <c r="AB43" s="1047"/>
      <c r="AC43" s="1047"/>
      <c r="AD43" s="1047"/>
      <c r="AE43" s="1047"/>
      <c r="AF43" s="1075"/>
      <c r="AG43" s="1076" t="str">
        <f>INDEX(PT_DIFFERENTIATION_TER,MATCH(B43,PT_DIFFERENTIATION_TER_ID,0))</f>
        <v/>
      </c>
      <c r="AH43" s="1047"/>
      <c r="AI43" s="1047"/>
      <c r="AJ43" s="1047"/>
      <c r="AK43" s="1047"/>
      <c r="AL43" s="1047"/>
      <c r="AM43" s="1047"/>
      <c r="AN43" s="1047"/>
      <c r="AO43" s="1047"/>
      <c r="AP43" s="1047"/>
      <c r="AQ43" s="1047"/>
      <c r="AR43" s="1075"/>
      <c r="AS43" s="135" t="s">
        <v>403</v>
      </c>
      <c r="AU43" s="150"/>
      <c r="AV43" s="150" t="str">
        <f t="shared" si="1"/>
        <v>Территория действия тарифа</v>
      </c>
      <c r="AW43" s="150"/>
      <c r="AX43" s="150"/>
      <c r="AY43" s="42">
        <v>23</v>
      </c>
    </row>
    <row r="44" ht="24" customHeight="1" spans="1:51">
      <c r="A44" s="45" t="s">
        <v>261</v>
      </c>
      <c r="B44" s="45" t="s">
        <v>262</v>
      </c>
      <c r="C44" s="45" t="s">
        <v>263</v>
      </c>
      <c r="D44" s="45"/>
      <c r="E44" s="1039"/>
      <c r="F44" s="1039"/>
      <c r="G44" s="1038">
        <v>1</v>
      </c>
      <c r="H44" s="45"/>
      <c r="I44" s="45"/>
      <c r="J44" s="45"/>
      <c r="K44" s="45"/>
      <c r="L44" s="1040"/>
      <c r="M44" s="46"/>
      <c r="N44" s="46"/>
      <c r="O44" s="46"/>
      <c r="P44" s="89"/>
      <c r="Q44" s="86"/>
      <c r="R44" s="87"/>
      <c r="S44" s="64" t="str">
        <f>INDEX(PT_DIFFERENTIATION_NUM_CS,MATCH(C44,PT_DIFFERENTIATION_CS_ID,0))</f>
        <v>..</v>
      </c>
      <c r="T44" s="90" t="s">
        <v>540</v>
      </c>
      <c r="U44" s="83"/>
      <c r="V44" s="1076"/>
      <c r="W44" s="1047"/>
      <c r="X44" s="1047"/>
      <c r="Y44" s="1047"/>
      <c r="Z44" s="1047"/>
      <c r="AA44" s="1047"/>
      <c r="AB44" s="1047"/>
      <c r="AC44" s="1047"/>
      <c r="AD44" s="1047"/>
      <c r="AE44" s="1047"/>
      <c r="AF44" s="1075"/>
      <c r="AG44" s="1076" t="str">
        <f>INDEX(PT_DIFFERENTIATION_CS,MATCH(C44,PT_DIFFERENTIATION_CS_ID,0))</f>
        <v/>
      </c>
      <c r="AH44" s="1047"/>
      <c r="AI44" s="1047"/>
      <c r="AJ44" s="1047"/>
      <c r="AK44" s="1047"/>
      <c r="AL44" s="1047"/>
      <c r="AM44" s="1047"/>
      <c r="AN44" s="1047"/>
      <c r="AO44" s="1047"/>
      <c r="AP44" s="1047"/>
      <c r="AQ44" s="1047"/>
      <c r="AR44" s="1075"/>
      <c r="AS44" s="135" t="s">
        <v>541</v>
      </c>
      <c r="AU44" s="150"/>
      <c r="AV44" s="150" t="str">
        <f t="shared" si="1"/>
        <v>Наименование централизованной системы горячего водоснабжения</v>
      </c>
      <c r="AW44" s="150"/>
      <c r="AX44" s="150"/>
      <c r="AY44" s="42">
        <v>23</v>
      </c>
    </row>
    <row r="45" ht="24" customHeight="1" spans="1:51">
      <c r="A45" s="45" t="s">
        <v>261</v>
      </c>
      <c r="B45" s="45" t="s">
        <v>262</v>
      </c>
      <c r="C45" s="45" t="s">
        <v>263</v>
      </c>
      <c r="D45" s="45" t="s">
        <v>553</v>
      </c>
      <c r="E45" s="1039"/>
      <c r="F45" s="1039"/>
      <c r="G45" s="1039"/>
      <c r="H45" s="1039"/>
      <c r="I45" s="228" t="str">
        <f>S44&amp;".1"</f>
        <v>...1</v>
      </c>
      <c r="J45" s="45"/>
      <c r="K45" s="45"/>
      <c r="L45" s="1040"/>
      <c r="P45" s="92">
        <v>1</v>
      </c>
      <c r="Q45" s="92"/>
      <c r="R45" s="93"/>
      <c r="S45" s="64" t="str">
        <f>$I45</f>
        <v>...1</v>
      </c>
      <c r="T45" s="94" t="s">
        <v>485</v>
      </c>
      <c r="U45" s="83"/>
      <c r="V45" s="1112"/>
      <c r="W45" s="1113"/>
      <c r="X45" s="1113"/>
      <c r="Y45" s="1113"/>
      <c r="Z45" s="1113"/>
      <c r="AA45" s="1113"/>
      <c r="AB45" s="1113"/>
      <c r="AC45" s="1113"/>
      <c r="AD45" s="1113"/>
      <c r="AE45" s="1113"/>
      <c r="AF45" s="1117"/>
      <c r="AG45" s="821"/>
      <c r="AH45" s="1120"/>
      <c r="AI45" s="1120"/>
      <c r="AJ45" s="1120"/>
      <c r="AK45" s="1120"/>
      <c r="AL45" s="1120"/>
      <c r="AM45" s="1120"/>
      <c r="AN45" s="1120"/>
      <c r="AO45" s="1120"/>
      <c r="AP45" s="1120"/>
      <c r="AQ45" s="1120"/>
      <c r="AR45" s="1121"/>
      <c r="AS45" s="135" t="s">
        <v>486</v>
      </c>
      <c r="AU45" s="150"/>
      <c r="AV45" s="150" t="str">
        <f t="shared" si="1"/>
        <v>Наименование признака дифференциации</v>
      </c>
      <c r="AW45" s="150"/>
      <c r="AX45" s="150"/>
      <c r="AY45" s="42">
        <v>23</v>
      </c>
    </row>
    <row r="46" ht="24" customHeight="1" spans="1:51">
      <c r="A46" s="45" t="s">
        <v>261</v>
      </c>
      <c r="B46" s="45" t="s">
        <v>262</v>
      </c>
      <c r="C46" s="45" t="s">
        <v>263</v>
      </c>
      <c r="D46" s="45" t="s">
        <v>553</v>
      </c>
      <c r="E46" s="1039"/>
      <c r="F46" s="1039"/>
      <c r="G46" s="1039"/>
      <c r="H46" s="1039"/>
      <c r="I46" s="1044"/>
      <c r="J46" s="228" t="str">
        <f>I45&amp;".1"</f>
        <v>...1.1</v>
      </c>
      <c r="K46" s="45"/>
      <c r="L46" s="1040" t="s">
        <v>411</v>
      </c>
      <c r="P46" s="92"/>
      <c r="Q46" s="92">
        <v>1</v>
      </c>
      <c r="R46" s="96"/>
      <c r="S46" s="64" t="str">
        <f>$J46</f>
        <v>...1.1</v>
      </c>
      <c r="T46" s="97" t="s">
        <v>412</v>
      </c>
      <c r="U46" s="83"/>
      <c r="V46" s="98"/>
      <c r="W46" s="99"/>
      <c r="X46" s="99"/>
      <c r="Y46" s="99"/>
      <c r="Z46" s="99"/>
      <c r="AA46" s="99"/>
      <c r="AB46" s="99"/>
      <c r="AC46" s="99"/>
      <c r="AD46" s="99"/>
      <c r="AE46" s="99"/>
      <c r="AF46" s="136"/>
      <c r="AG46" s="98"/>
      <c r="AH46" s="99"/>
      <c r="AI46" s="99"/>
      <c r="AJ46" s="99"/>
      <c r="AK46" s="99"/>
      <c r="AL46" s="99"/>
      <c r="AM46" s="99"/>
      <c r="AN46" s="99"/>
      <c r="AO46" s="99"/>
      <c r="AP46" s="99"/>
      <c r="AQ46" s="99"/>
      <c r="AR46" s="136"/>
      <c r="AS46" s="1122" t="s">
        <v>487</v>
      </c>
      <c r="AU46" s="150"/>
      <c r="AV46" s="150" t="str">
        <f t="shared" si="1"/>
        <v>Группа потребителей</v>
      </c>
      <c r="AW46" s="150"/>
      <c r="AX46" s="150"/>
      <c r="AY46" s="42">
        <v>23</v>
      </c>
    </row>
    <row r="47" ht="24" customHeight="1" spans="1:51">
      <c r="A47" s="45" t="s">
        <v>261</v>
      </c>
      <c r="B47" s="45" t="s">
        <v>262</v>
      </c>
      <c r="C47" s="45" t="s">
        <v>263</v>
      </c>
      <c r="D47" s="45" t="s">
        <v>553</v>
      </c>
      <c r="E47" s="1039"/>
      <c r="F47" s="1039"/>
      <c r="G47" s="1039"/>
      <c r="H47" s="1039"/>
      <c r="I47" s="1044"/>
      <c r="J47" s="1044"/>
      <c r="K47" s="228" t="str">
        <f>J46&amp;".1"</f>
        <v>...1.1.1</v>
      </c>
      <c r="L47" s="1040"/>
      <c r="P47" s="92"/>
      <c r="Q47" s="92"/>
      <c r="R47" s="96">
        <v>1</v>
      </c>
      <c r="S47" s="64" t="str">
        <f>$K47</f>
        <v>...1.1.1</v>
      </c>
      <c r="T47" s="1114"/>
      <c r="U47" s="83"/>
      <c r="V47" s="489"/>
      <c r="W47" s="489"/>
      <c r="X47" s="489"/>
      <c r="Y47" s="489"/>
      <c r="Z47" s="489"/>
      <c r="AA47" s="489"/>
      <c r="AB47" s="1118"/>
      <c r="AC47" s="1119"/>
      <c r="AD47" s="352" t="s">
        <v>62</v>
      </c>
      <c r="AE47" s="1119"/>
      <c r="AF47" s="352" t="s">
        <v>62</v>
      </c>
      <c r="AG47" s="101"/>
      <c r="AH47" s="101"/>
      <c r="AI47" s="101"/>
      <c r="AJ47" s="101"/>
      <c r="AK47" s="101"/>
      <c r="AL47" s="101"/>
      <c r="AM47" s="137"/>
      <c r="AN47" s="138"/>
      <c r="AO47" s="139" t="s">
        <v>62</v>
      </c>
      <c r="AP47" s="1123"/>
      <c r="AQ47" s="139" t="s">
        <v>19</v>
      </c>
      <c r="AR47" s="1124"/>
      <c r="AS47" s="11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3" t="e">
        <f>STRCHECKDATE(V48:AR48)</f>
        <v>#NAME?</v>
      </c>
      <c r="AU47" s="150"/>
      <c r="AV47" s="150" t="str">
        <f t="shared" si="1"/>
        <v/>
      </c>
      <c r="AW47" s="150"/>
      <c r="AX47" s="150"/>
      <c r="AY47" s="42">
        <v>23</v>
      </c>
    </row>
    <row r="48" hidden="1" customHeight="1" spans="1:51">
      <c r="A48" s="45" t="s">
        <v>261</v>
      </c>
      <c r="B48" s="45" t="s">
        <v>262</v>
      </c>
      <c r="C48" s="45" t="s">
        <v>263</v>
      </c>
      <c r="D48" s="45" t="s">
        <v>553</v>
      </c>
      <c r="E48" s="1039"/>
      <c r="F48" s="1039"/>
      <c r="G48" s="1039"/>
      <c r="H48" s="1039"/>
      <c r="I48" s="1044"/>
      <c r="J48" s="1044"/>
      <c r="K48" s="228"/>
      <c r="L48" s="1040"/>
      <c r="P48" s="92"/>
      <c r="Q48" s="92"/>
      <c r="R48" s="96"/>
      <c r="S48" s="103"/>
      <c r="T48" s="83"/>
      <c r="U48" s="83"/>
      <c r="V48" s="489"/>
      <c r="W48" s="489"/>
      <c r="X48" s="489"/>
      <c r="Y48" s="489"/>
      <c r="Z48" s="489"/>
      <c r="AA48" s="489"/>
      <c r="AB48" s="141" t="str">
        <f>AC47&amp;"-"&amp;AE47</f>
        <v>-</v>
      </c>
      <c r="AC48" s="352"/>
      <c r="AD48" s="352"/>
      <c r="AE48" s="352"/>
      <c r="AF48" s="352"/>
      <c r="AG48" s="102"/>
      <c r="AH48" s="102"/>
      <c r="AI48" s="102"/>
      <c r="AJ48" s="102"/>
      <c r="AK48" s="102"/>
      <c r="AL48" s="102"/>
      <c r="AM48" s="141" t="str">
        <f>AN47&amp;"-"&amp;AP47</f>
        <v>-</v>
      </c>
      <c r="AN48" s="142"/>
      <c r="AO48" s="139"/>
      <c r="AP48" s="1126"/>
      <c r="AQ48" s="139"/>
      <c r="AR48" s="763"/>
      <c r="AS48" s="1125"/>
      <c r="AU48" s="150"/>
      <c r="AV48" s="150" t="str">
        <f t="shared" si="1"/>
        <v/>
      </c>
      <c r="AW48" s="150"/>
      <c r="AX48" s="150"/>
      <c r="AY48" s="42">
        <v>0</v>
      </c>
    </row>
    <row r="49" ht="21" customHeight="1" spans="1:51">
      <c r="A49" s="45" t="s">
        <v>261</v>
      </c>
      <c r="B49" s="45" t="s">
        <v>262</v>
      </c>
      <c r="C49" s="45" t="s">
        <v>263</v>
      </c>
      <c r="D49" s="45" t="s">
        <v>553</v>
      </c>
      <c r="E49" s="1039"/>
      <c r="F49" s="1039"/>
      <c r="G49" s="1039"/>
      <c r="H49" s="1039"/>
      <c r="I49" s="1044"/>
      <c r="J49" s="228"/>
      <c r="K49" s="45"/>
      <c r="L49" s="1040"/>
      <c r="P49" s="92"/>
      <c r="Q49" s="92"/>
      <c r="R49" s="93"/>
      <c r="S49" s="104"/>
      <c r="T49" s="107" t="s">
        <v>488</v>
      </c>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35" t="s">
        <v>489</v>
      </c>
      <c r="AU49" s="150"/>
      <c r="AV49" s="150" t="str">
        <f t="shared" si="1"/>
        <v>Добавить значение признака дифференциации</v>
      </c>
      <c r="AW49" s="150"/>
      <c r="AX49" s="150"/>
      <c r="AY49" s="42">
        <v>20</v>
      </c>
    </row>
    <row r="50" ht="22.05" customHeight="1" spans="1:51">
      <c r="A50" s="45" t="s">
        <v>261</v>
      </c>
      <c r="B50" s="45" t="s">
        <v>262</v>
      </c>
      <c r="C50" s="45" t="s">
        <v>263</v>
      </c>
      <c r="D50" s="45" t="s">
        <v>553</v>
      </c>
      <c r="E50" s="1039"/>
      <c r="F50" s="1039"/>
      <c r="G50" s="1039"/>
      <c r="H50" s="1039"/>
      <c r="I50" s="228"/>
      <c r="J50" s="45"/>
      <c r="K50" s="45"/>
      <c r="L50" s="1040"/>
      <c r="P50" s="92"/>
      <c r="Q50" s="92"/>
      <c r="R50" s="93"/>
      <c r="S50" s="104"/>
      <c r="T50" s="109" t="s">
        <v>417</v>
      </c>
      <c r="U50" s="106"/>
      <c r="V50" s="106"/>
      <c r="W50" s="106"/>
      <c r="X50" s="106"/>
      <c r="Y50" s="106"/>
      <c r="Z50" s="106"/>
      <c r="AA50" s="106"/>
      <c r="AB50" s="106"/>
      <c r="AC50" s="106"/>
      <c r="AD50" s="106"/>
      <c r="AE50" s="106"/>
      <c r="AF50" s="146"/>
      <c r="AG50" s="106"/>
      <c r="AH50" s="106"/>
      <c r="AI50" s="106"/>
      <c r="AJ50" s="106"/>
      <c r="AK50" s="106"/>
      <c r="AL50" s="106"/>
      <c r="AM50" s="106"/>
      <c r="AN50" s="106"/>
      <c r="AO50" s="106"/>
      <c r="AP50" s="106"/>
      <c r="AQ50" s="146"/>
      <c r="AR50" s="106"/>
      <c r="AS50" s="1127"/>
      <c r="AU50" s="150"/>
      <c r="AV50" s="150" t="str">
        <f t="shared" si="1"/>
        <v>Добавить группу потребителей</v>
      </c>
      <c r="AW50" s="150"/>
      <c r="AX50" s="150"/>
      <c r="AY50" s="42">
        <v>21</v>
      </c>
    </row>
    <row r="51" ht="22.05" customHeight="1" spans="1:51">
      <c r="A51" s="45" t="s">
        <v>261</v>
      </c>
      <c r="B51" s="45" t="s">
        <v>262</v>
      </c>
      <c r="C51" s="45" t="s">
        <v>263</v>
      </c>
      <c r="D51" s="45" t="s">
        <v>553</v>
      </c>
      <c r="E51" s="1039"/>
      <c r="F51" s="1039"/>
      <c r="G51" s="1039"/>
      <c r="H51" s="1038"/>
      <c r="I51" s="45"/>
      <c r="J51" s="45"/>
      <c r="K51" s="45"/>
      <c r="L51" s="1040"/>
      <c r="M51" s="46"/>
      <c r="N51" s="46"/>
      <c r="O51" s="37"/>
      <c r="P51" s="80"/>
      <c r="Q51" s="108"/>
      <c r="R51" s="81"/>
      <c r="S51" s="104"/>
      <c r="T51" s="813" t="s">
        <v>490</v>
      </c>
      <c r="U51" s="106"/>
      <c r="V51" s="106"/>
      <c r="W51" s="106"/>
      <c r="X51" s="106"/>
      <c r="Y51" s="106"/>
      <c r="Z51" s="106"/>
      <c r="AA51" s="106"/>
      <c r="AB51" s="106"/>
      <c r="AC51" s="106"/>
      <c r="AD51" s="106"/>
      <c r="AE51" s="106"/>
      <c r="AF51" s="146"/>
      <c r="AG51" s="106"/>
      <c r="AH51" s="106"/>
      <c r="AI51" s="106"/>
      <c r="AJ51" s="106"/>
      <c r="AK51" s="106"/>
      <c r="AL51" s="106"/>
      <c r="AM51" s="106"/>
      <c r="AN51" s="106"/>
      <c r="AO51" s="106"/>
      <c r="AP51" s="106"/>
      <c r="AQ51" s="146"/>
      <c r="AR51" s="106"/>
      <c r="AS51" s="147"/>
      <c r="AU51" s="150"/>
      <c r="AV51" s="150" t="str">
        <f t="shared" si="1"/>
        <v>Добавить наименование признака дифференциации</v>
      </c>
      <c r="AW51" s="150"/>
      <c r="AX51" s="150"/>
      <c r="AY51" s="42">
        <v>21</v>
      </c>
    </row>
    <row r="52" s="43" customFormat="1" hidden="1" customHeight="1" spans="1:51">
      <c r="A52" s="587" t="s">
        <v>261</v>
      </c>
      <c r="B52" s="587" t="s">
        <v>262</v>
      </c>
      <c r="C52" s="587"/>
      <c r="D52" s="587"/>
      <c r="E52" s="1039"/>
      <c r="F52" s="1038"/>
      <c r="G52" s="587"/>
      <c r="H52" s="587"/>
      <c r="I52" s="587"/>
      <c r="J52" s="587"/>
      <c r="K52" s="587"/>
      <c r="L52" s="608"/>
      <c r="M52" s="1045"/>
      <c r="N52" s="1045"/>
      <c r="P52" s="151"/>
      <c r="Q52" s="1068"/>
      <c r="R52" s="151"/>
      <c r="S52" s="1070"/>
      <c r="T52" s="1071" t="s">
        <v>251</v>
      </c>
      <c r="U52" s="306"/>
      <c r="V52" s="306"/>
      <c r="W52" s="306"/>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U52" s="150"/>
      <c r="AV52" s="150" t="str">
        <f t="shared" si="1"/>
        <v>Добавить централизованную систему для дифференциации</v>
      </c>
      <c r="AW52" s="150"/>
      <c r="AX52" s="150"/>
      <c r="AY52" s="43">
        <v>0</v>
      </c>
    </row>
    <row r="53" s="43" customFormat="1" hidden="1" customHeight="1" spans="1:51">
      <c r="A53" s="587" t="s">
        <v>261</v>
      </c>
      <c r="B53" s="587"/>
      <c r="C53" s="587"/>
      <c r="D53" s="587"/>
      <c r="E53" s="1038"/>
      <c r="F53" s="587"/>
      <c r="G53" s="587"/>
      <c r="H53" s="587"/>
      <c r="I53" s="587"/>
      <c r="J53" s="587"/>
      <c r="K53" s="587"/>
      <c r="L53" s="608"/>
      <c r="M53" s="1045"/>
      <c r="N53" s="1045"/>
      <c r="P53" s="151"/>
      <c r="Q53" s="1068"/>
      <c r="R53" s="151"/>
      <c r="S53" s="1070"/>
      <c r="T53" s="1071" t="s">
        <v>252</v>
      </c>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U53" s="150"/>
      <c r="AV53" s="150" t="str">
        <f t="shared" si="1"/>
        <v>Добавить территорию для дифференциации</v>
      </c>
      <c r="AW53" s="150"/>
      <c r="AX53" s="150"/>
      <c r="AY53" s="43">
        <v>0</v>
      </c>
    </row>
    <row r="54" s="43" customFormat="1" hidden="1" customHeight="1" spans="1:51">
      <c r="A54" s="587"/>
      <c r="B54" s="587"/>
      <c r="C54" s="587"/>
      <c r="D54" s="587"/>
      <c r="E54" s="587"/>
      <c r="F54" s="587"/>
      <c r="G54" s="587"/>
      <c r="H54" s="587"/>
      <c r="I54" s="587"/>
      <c r="J54" s="587"/>
      <c r="K54" s="587"/>
      <c r="L54" s="608"/>
      <c r="M54" s="1045"/>
      <c r="N54" s="1045"/>
      <c r="P54" s="151"/>
      <c r="Q54" s="1068"/>
      <c r="R54" s="151"/>
      <c r="S54" s="1070"/>
      <c r="T54" s="1071" t="s">
        <v>253</v>
      </c>
      <c r="U54" s="306"/>
      <c r="V54" s="306"/>
      <c r="W54" s="306"/>
      <c r="X54" s="306"/>
      <c r="Y54" s="306"/>
      <c r="Z54" s="306"/>
      <c r="AA54" s="306"/>
      <c r="AB54" s="306"/>
      <c r="AC54" s="306"/>
      <c r="AD54" s="306"/>
      <c r="AE54" s="306"/>
      <c r="AF54" s="306"/>
      <c r="AG54" s="306"/>
      <c r="AH54" s="306"/>
      <c r="AI54" s="306"/>
      <c r="AJ54" s="306"/>
      <c r="AK54" s="306"/>
      <c r="AL54" s="306"/>
      <c r="AM54" s="306"/>
      <c r="AN54" s="306"/>
      <c r="AO54" s="306"/>
      <c r="AP54" s="306"/>
      <c r="AQ54" s="306"/>
      <c r="AR54" s="306"/>
      <c r="AS54" s="306"/>
      <c r="AU54" s="150"/>
      <c r="AV54" s="150" t="str">
        <f t="shared" si="1"/>
        <v>Добавить наименование тарифа</v>
      </c>
      <c r="AW54" s="150"/>
      <c r="AX54" s="150"/>
      <c r="AY54" s="43">
        <v>0</v>
      </c>
    </row>
    <row r="55" ht="11.55" customHeight="1" spans="13:51">
      <c r="M55" s="37"/>
      <c r="N55" s="37"/>
      <c r="O55" s="37"/>
      <c r="P55" s="42"/>
      <c r="Q55" s="42"/>
      <c r="R55" s="42"/>
      <c r="S55" s="42"/>
      <c r="AT55" s="42"/>
      <c r="AU55" s="42"/>
      <c r="AV55" s="42"/>
      <c r="AW55" s="42"/>
      <c r="AX55" s="42"/>
      <c r="AY55" s="42">
        <v>11</v>
      </c>
    </row>
    <row r="56" ht="14.7" customHeight="1" spans="15:51">
      <c r="O56" s="37"/>
      <c r="S56" s="781"/>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Y56" s="42">
        <v>14</v>
      </c>
    </row>
    <row r="57" ht="14.7" customHeight="1" spans="15:51">
      <c r="O57" s="37"/>
      <c r="AY57" s="42">
        <v>14</v>
      </c>
    </row>
    <row r="58" ht="14.7" customHeight="1" spans="15:51">
      <c r="O58" s="37"/>
      <c r="S58" s="781"/>
      <c r="T58" s="119"/>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9"/>
      <c r="AR58" s="119"/>
      <c r="AS58" s="119"/>
      <c r="AY58" s="42">
        <v>14</v>
      </c>
    </row>
    <row r="59" ht="22.5" hidden="1" customHeight="1" spans="1:51">
      <c r="A59" s="37" t="s">
        <v>83</v>
      </c>
      <c r="B59" s="37">
        <v>0</v>
      </c>
      <c r="C59" s="37">
        <v>0</v>
      </c>
      <c r="D59" s="37">
        <v>0</v>
      </c>
      <c r="E59" s="37">
        <v>0</v>
      </c>
      <c r="F59" s="37">
        <v>0</v>
      </c>
      <c r="G59" s="37">
        <v>0</v>
      </c>
      <c r="H59" s="37">
        <v>0</v>
      </c>
      <c r="I59" s="37">
        <v>0</v>
      </c>
      <c r="J59" s="37">
        <v>0</v>
      </c>
      <c r="K59" s="37">
        <v>0</v>
      </c>
      <c r="L59" s="47">
        <v>0</v>
      </c>
      <c r="M59" s="38">
        <v>0</v>
      </c>
      <c r="N59" s="38">
        <v>0</v>
      </c>
      <c r="O59" s="38">
        <v>0</v>
      </c>
      <c r="P59" s="39">
        <v>3</v>
      </c>
      <c r="Q59" s="40">
        <v>3</v>
      </c>
      <c r="R59" s="40">
        <v>3</v>
      </c>
      <c r="S59" s="41">
        <v>12</v>
      </c>
      <c r="T59" s="42">
        <v>35</v>
      </c>
      <c r="U59" s="42">
        <v>0</v>
      </c>
      <c r="V59" s="42">
        <v>0</v>
      </c>
      <c r="W59" s="42">
        <v>0</v>
      </c>
      <c r="X59" s="42">
        <v>0</v>
      </c>
      <c r="Y59" s="42">
        <v>0</v>
      </c>
      <c r="Z59" s="42">
        <v>0</v>
      </c>
      <c r="AA59" s="42">
        <v>0</v>
      </c>
      <c r="AB59" s="42">
        <v>0</v>
      </c>
      <c r="AC59" s="42">
        <v>0</v>
      </c>
      <c r="AD59" s="42">
        <v>0</v>
      </c>
      <c r="AE59" s="42">
        <v>0</v>
      </c>
      <c r="AF59" s="42">
        <v>0</v>
      </c>
      <c r="AG59" s="42">
        <v>19</v>
      </c>
      <c r="AH59" s="42">
        <v>19</v>
      </c>
      <c r="AI59" s="42">
        <v>19</v>
      </c>
      <c r="AJ59" s="42">
        <v>19</v>
      </c>
      <c r="AK59" s="42">
        <v>19</v>
      </c>
      <c r="AL59" s="42">
        <v>19</v>
      </c>
      <c r="AM59" s="42">
        <v>19</v>
      </c>
      <c r="AN59" s="42">
        <v>11</v>
      </c>
      <c r="AO59" s="42">
        <v>3</v>
      </c>
      <c r="AP59" s="42">
        <v>11</v>
      </c>
      <c r="AQ59" s="42">
        <v>0</v>
      </c>
      <c r="AR59" s="42">
        <v>4</v>
      </c>
      <c r="AS59" s="42">
        <v>115</v>
      </c>
      <c r="AT59" s="43">
        <v>10</v>
      </c>
      <c r="AU59" s="43">
        <v>10</v>
      </c>
      <c r="AV59" s="43">
        <v>10</v>
      </c>
      <c r="AW59" s="43">
        <v>10</v>
      </c>
      <c r="AX59" s="43">
        <v>10</v>
      </c>
      <c r="AY59" s="42">
        <v>23</v>
      </c>
    </row>
  </sheetData>
  <sheetProtection formatColumns="0" formatRows="0" insertRows="0" deleteColumns="0" deleteRows="0" sort="0" autoFilter="0"/>
  <mergeCells count="113">
    <mergeCell ref="V2:AF2"/>
    <mergeCell ref="AG2:AR2"/>
    <mergeCell ref="V3:AF3"/>
    <mergeCell ref="AG3:AR3"/>
    <mergeCell ref="V4:AF4"/>
    <mergeCell ref="AG4:AR4"/>
    <mergeCell ref="V5:AF5"/>
    <mergeCell ref="AG5:AR5"/>
    <mergeCell ref="V6:AF6"/>
    <mergeCell ref="AG6:AR6"/>
    <mergeCell ref="S24:AP24"/>
    <mergeCell ref="S25:AP25"/>
    <mergeCell ref="S27:T27"/>
    <mergeCell ref="V27:AE27"/>
    <mergeCell ref="AG27:AP27"/>
    <mergeCell ref="S28:T28"/>
    <mergeCell ref="V28:AE28"/>
    <mergeCell ref="AG28:AP28"/>
    <mergeCell ref="S29:T29"/>
    <mergeCell ref="V29:AE29"/>
    <mergeCell ref="AG29:AP29"/>
    <mergeCell ref="S30:T30"/>
    <mergeCell ref="V30:AE30"/>
    <mergeCell ref="AG30:AP30"/>
    <mergeCell ref="S32:T32"/>
    <mergeCell ref="V32:AE32"/>
    <mergeCell ref="AG32:AP32"/>
    <mergeCell ref="S33:T33"/>
    <mergeCell ref="V33:AE33"/>
    <mergeCell ref="AG33:AP33"/>
    <mergeCell ref="V35:AF35"/>
    <mergeCell ref="AG35:AQ35"/>
    <mergeCell ref="S36:AR36"/>
    <mergeCell ref="V37:AE37"/>
    <mergeCell ref="AG37:AP37"/>
    <mergeCell ref="W38:Y38"/>
    <mergeCell ref="Z38:AB38"/>
    <mergeCell ref="AH38:AJ38"/>
    <mergeCell ref="AK38:AM38"/>
    <mergeCell ref="X39:Y39"/>
    <mergeCell ref="AA39:AB39"/>
    <mergeCell ref="AI39:AJ39"/>
    <mergeCell ref="AL39:AM39"/>
    <mergeCell ref="AD40:AE40"/>
    <mergeCell ref="AO40:AP40"/>
    <mergeCell ref="AD41:AE41"/>
    <mergeCell ref="AO41:AP41"/>
    <mergeCell ref="V42:AF42"/>
    <mergeCell ref="AG42:AR42"/>
    <mergeCell ref="V43:AF43"/>
    <mergeCell ref="AG43:AR43"/>
    <mergeCell ref="V44:AF44"/>
    <mergeCell ref="AG44:AR44"/>
    <mergeCell ref="V45:AF45"/>
    <mergeCell ref="AG45:AR45"/>
    <mergeCell ref="V46:AF46"/>
    <mergeCell ref="AG46:AR46"/>
    <mergeCell ref="T56:AS56"/>
    <mergeCell ref="T58:AS58"/>
    <mergeCell ref="E2:E13"/>
    <mergeCell ref="E42:E53"/>
    <mergeCell ref="F3:F12"/>
    <mergeCell ref="F43:F52"/>
    <mergeCell ref="G4:G11"/>
    <mergeCell ref="G44:G51"/>
    <mergeCell ref="H5:H11"/>
    <mergeCell ref="H45:H51"/>
    <mergeCell ref="I5:I10"/>
    <mergeCell ref="I45:I50"/>
    <mergeCell ref="J6:J9"/>
    <mergeCell ref="J46:J49"/>
    <mergeCell ref="K7:K8"/>
    <mergeCell ref="K47:K48"/>
    <mergeCell ref="P5:P10"/>
    <mergeCell ref="P45:P50"/>
    <mergeCell ref="Q6:Q9"/>
    <mergeCell ref="Q46:Q49"/>
    <mergeCell ref="S37:S40"/>
    <mergeCell ref="T37:T40"/>
    <mergeCell ref="V38:V40"/>
    <mergeCell ref="W39:W40"/>
    <mergeCell ref="Z39:Z40"/>
    <mergeCell ref="AC7:AC8"/>
    <mergeCell ref="AC47:AC48"/>
    <mergeCell ref="AD7:AD8"/>
    <mergeCell ref="AD47:AD48"/>
    <mergeCell ref="AE7:AE8"/>
    <mergeCell ref="AE47:AE48"/>
    <mergeCell ref="AF7:AF8"/>
    <mergeCell ref="AF37:AF40"/>
    <mergeCell ref="AF47:AF48"/>
    <mergeCell ref="AG38:AG40"/>
    <mergeCell ref="AH39:AH40"/>
    <mergeCell ref="AK39:AK40"/>
    <mergeCell ref="AN7:AN8"/>
    <mergeCell ref="AN15:AN16"/>
    <mergeCell ref="AN47:AN48"/>
    <mergeCell ref="AO7:AO8"/>
    <mergeCell ref="AO15:AO16"/>
    <mergeCell ref="AO47:AO48"/>
    <mergeCell ref="AP7:AP8"/>
    <mergeCell ref="AP15:AP16"/>
    <mergeCell ref="AP47:AP48"/>
    <mergeCell ref="AQ7:AQ8"/>
    <mergeCell ref="AQ15:AQ16"/>
    <mergeCell ref="AQ37:AQ40"/>
    <mergeCell ref="AQ47:AQ48"/>
    <mergeCell ref="AR37:AR40"/>
    <mergeCell ref="AS7:AS8"/>
    <mergeCell ref="AS36:AS40"/>
    <mergeCell ref="AS47:AS48"/>
    <mergeCell ref="AN38:AP39"/>
    <mergeCell ref="AC38:AE39"/>
  </mergeCells>
  <dataValidations count="8">
    <dataValidation type="textLength" operator="lessThanOrEqual" allowBlank="1" showInputMessage="1" showErrorMessage="1" errorTitle="Ошибка" error="Допускается ввод не более 900 символов!" sqref="AG5:AR5 T7 AG45:AR45 T47 AS65573:AS65580 AS131109:AS131116 AS196645:AS196652 AS262181:AS262188 AS327717:AS327724 AS393253:AS393260 AS458789:AS458796 AS524325:AS524332 AS589861:AS589868 AS655397:AS655404 AS720933:AS720940 AS786469:AS786476 AS852005:AS852012 AS917541:AS917548 AS983077:AS98308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7 AE7 AN7 AP7 AN15 AP15 AC47 AE47 AN47 AP47 AC65579 AE65579 AN65579 AP65579 AC131115 AE131115 AN131115 AP131115 AC196651 AE196651 AN196651 AP196651 AC262187 AE262187 AN262187 AP262187 AC327723 AE327723 AN327723 AP327723 AC393259 AE393259 AN393259 AP393259 AC458795 AE458795 AN458795 AP458795 AC524331 AE524331 AN524331 AP524331 AC589867 AE589867 AN589867 AP589867 AC655403 AE655403 AN655403 AP655403 AC720939 AE720939 AN720939 AP720939 AC786475 AE786475 AN786475 AP786475 AC852011 AE852011 AN852011 AP852011 AC917547 AE917547 AN917547 AP917547 AC983083 AE983083 AN983083 AP983083"/>
    <dataValidation allowBlank="1" showInputMessage="1" showErrorMessage="1" prompt="Для выбора выполните двойной щелчок левой клавиши мыши по соответствующей ячейке." sqref="AD7 AF7 AO7 AQ7 AO15 AQ15 AD47 AF47 AO47 AQ47 AD65579 AF65579 AO65579 AQ65579 AD131115 AF131115 AO131115 AQ131115 AD196651 AF196651 AO196651 AQ196651 AD262187 AF262187 AO262187 AQ262187 AD327723 AF327723 AO327723 AQ327723 AD393259 AF393259 AO393259 AQ393259 AD458795 AF458795 AO458795 AQ458795 AD524331 AF524331 AO524331 AQ524331 AD589867 AF589867 AO589867 AQ589867 AD655403 AF655403 AO655403 AQ655403 AD720939 AF720939 AO720939 AQ720939 AD786475 AF786475 AO786475 AQ786475 AD852011 AF852011 AO852011 AQ852011 AD917547 AF917547 AO917547 AQ917547 AD983083 AF983083 AO983083 AQ983083"/>
    <dataValidation allowBlank="1" promptTitle="checkPeriodRange" sqref="AB8 AM8 AM16 AB48 AM48 AB65580 AM65580 AB131116 AM131116 AB196652 AM196652 AB262188 AM262188 AB327724 AM327724 AB393260 AM393260 AB458796 AM458796 AB524332 AM524332 AB589868 AM589868 AB655404 AM655404 AB720940 AM720940 AB786476 AM786476 AB852012 AM852012 AB917548 AM917548 AB983084 AM983084"/>
    <dataValidation type="list" allowBlank="1" showInputMessage="1" showErrorMessage="1" errorTitle="Ошибка" error="Выберите значение из списка" sqref="V65577:AA65577 AG65577:AL65577 V131113:AA131113 AG131113:AL131113 V196649:AA196649 AG196649:AL196649 V262185:AA262185 AG262185:AL262185 V327721:AA327721 AG327721:AL327721 V393257:AA393257 AG393257:AL393257 V458793:AA458793 AG458793:AL458793 V524329:AA524329 AG524329:AL524329 V589865:AA589865 AG589865:AL589865 V655401:AA655401 AG655401:AL655401 V720937:AA720937 AG720937:AL720937 V786473:AA786473 AG786473:AL786473 V852009:AA852009 AG852009:AL852009 V917545:AA917545 AG917545:AL917545 V983081:AA983081 AG983081:AL983081">
      <formula1>kind_of_scheme_in</formula1>
    </dataValidation>
    <dataValidation type="list" allowBlank="1" showInputMessage="1" errorTitle="Ошибка" error="Выберите значение из списка" prompt="Выберите значение из списка" sqref="V65578:AR65578 V131114:AR131114 V196650:AR196650 V262186:AR262186 V327722:AR327722 V393258:AR393258 V458794:AR458794 V524330:AR524330 V589866:AR589866 V655402:AR655402 V720938:AR720938 V786474:AR786474 V852010:AR852010 V917546:AR917546 V983082:AR983082">
      <formula1>kind_of_cons</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qref="S131117:AS131123 S589869:AS589875 S196653:AS196659 S655405:AS655411 S262189:AS262195 S720941:AS720947 S327725:AS327731 S786477:AS786483 S393261:AS393267 S852013:AS852019 S458797:AS458803 S917549:AS917555 S65581:AS65587 S524333:AS524339 S983085:AS983091"/>
  </dataValidations>
  <pageMargins left="0.7" right="0.7" top="0.75" bottom="0.75" header="0.3" footer="0.3"/>
  <pageSetup paperSize="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BI69"/>
  <sheetViews>
    <sheetView showGridLines="0" zoomScale="90" zoomScaleNormal="90" workbookViewId="0">
      <pane xSplit="29" ySplit="45" topLeftCell="AD46" activePane="bottomRight" state="frozen"/>
      <selection/>
      <selection pane="topRight"/>
      <selection pane="bottomLeft"/>
      <selection pane="bottomRight" activeCell="A1" sqref="A1"/>
    </sheetView>
  </sheetViews>
  <sheetFormatPr defaultColWidth="10.5714285714286" defaultRowHeight="14.25" customHeight="1"/>
  <cols>
    <col min="1" max="1" width="11.5714285714286" style="37" hidden="1" customWidth="1"/>
    <col min="2" max="2" width="11" style="37" hidden="1" customWidth="1"/>
    <col min="3" max="3" width="10.5714285714286" style="37" hidden="1"/>
    <col min="4" max="4" width="12.847619047619" style="37" hidden="1" customWidth="1"/>
    <col min="5" max="5" width="10" style="37" hidden="1" customWidth="1"/>
    <col min="6" max="6" width="8.71428571428571" style="37" hidden="1" customWidth="1"/>
    <col min="7" max="7" width="7.57142857142857" style="37" hidden="1" customWidth="1"/>
    <col min="8" max="8" width="11.4190476190476" style="37" hidden="1" customWidth="1"/>
    <col min="9" max="9" width="12" style="37" hidden="1" customWidth="1"/>
    <col min="10" max="10" width="9.84761904761905" style="37" hidden="1" customWidth="1"/>
    <col min="11" max="11" width="11.4190476190476" style="37" hidden="1" customWidth="1"/>
    <col min="12" max="12" width="19.1428571428571" style="47" hidden="1" customWidth="1"/>
    <col min="13" max="14" width="12.2857142857143" style="38" hidden="1" customWidth="1"/>
    <col min="15" max="15" width="23.4190476190476" style="38" hidden="1" customWidth="1"/>
    <col min="16" max="16" width="3.71428571428571" style="38" hidden="1" customWidth="1"/>
    <col min="17" max="17" width="3.71428571428571" style="1037" hidden="1" customWidth="1"/>
    <col min="18" max="18" width="3" style="40" customWidth="1"/>
    <col min="19" max="19" width="12" style="41" customWidth="1"/>
    <col min="20" max="20" width="31" style="42" customWidth="1"/>
    <col min="21" max="21" width="0.142857142857143" style="42" customWidth="1"/>
    <col min="22" max="25" width="21.7142857142857" style="42" hidden="1" customWidth="1"/>
    <col min="26" max="26" width="11.7142857142857" style="42" hidden="1" customWidth="1"/>
    <col min="27" max="27" width="3.71428571428571" style="42" hidden="1" customWidth="1"/>
    <col min="28" max="28" width="11.7142857142857" style="42" hidden="1" customWidth="1"/>
    <col min="29" max="29" width="8.57142857142857" style="42" hidden="1" customWidth="1"/>
    <col min="30" max="30" width="3.71428571428571" style="42" customWidth="1"/>
    <col min="31" max="32" width="3" style="42" customWidth="1"/>
    <col min="33" max="33" width="24" style="42" customWidth="1"/>
    <col min="34" max="34" width="3.71428571428571" style="42" customWidth="1"/>
    <col min="35" max="36" width="3" style="42" customWidth="1"/>
    <col min="37" max="37" width="24" style="42" customWidth="1"/>
    <col min="38" max="38" width="3.71428571428571" style="42" customWidth="1"/>
    <col min="39" max="40" width="3" style="42" customWidth="1"/>
    <col min="41" max="41" width="18" style="42" customWidth="1"/>
    <col min="42" max="42" width="3.71428571428571" style="42" customWidth="1"/>
    <col min="43" max="44" width="3" style="42" customWidth="1"/>
    <col min="45" max="45" width="18" style="42" customWidth="1"/>
    <col min="46" max="49" width="21" style="42" customWidth="1"/>
    <col min="50" max="50" width="11" style="42" customWidth="1"/>
    <col min="51" max="51" width="3.71428571428571" style="42" customWidth="1"/>
    <col min="52" max="52" width="11" style="42" customWidth="1"/>
    <col min="53" max="53" width="8.57142857142857" style="42" hidden="1" customWidth="1"/>
    <col min="54" max="54" width="4" style="42" customWidth="1"/>
    <col min="55" max="55" width="115" style="42" customWidth="1"/>
    <col min="56" max="60" width="10" style="43" customWidth="1"/>
    <col min="61" max="61" width="10.5714285714286" style="42" hidden="1"/>
  </cols>
  <sheetData>
    <row r="1" ht="22.5" hidden="1" customHeight="1" spans="61:61">
      <c r="BI1" s="42" t="s">
        <v>14</v>
      </c>
    </row>
    <row r="2" ht="21" hidden="1" customHeight="1" spans="1:61">
      <c r="A2" s="45"/>
      <c r="B2" s="45"/>
      <c r="C2" s="45"/>
      <c r="D2" s="45"/>
      <c r="E2" s="1038">
        <v>1</v>
      </c>
      <c r="F2" s="45"/>
      <c r="G2" s="45"/>
      <c r="H2" s="45"/>
      <c r="I2" s="45"/>
      <c r="J2" s="45"/>
      <c r="K2" s="45"/>
      <c r="L2" s="1040"/>
      <c r="M2" s="46"/>
      <c r="N2" s="46"/>
      <c r="O2" s="46"/>
      <c r="Q2" s="263"/>
      <c r="R2" s="81"/>
      <c r="S2" s="64" t="e">
        <f>INDEX(PT_DIFFERENTIATION_NUM_NTAR,MATCH(A2,PT_DIFFERENTIATION_NTAR_ID,0))</f>
        <v>#N/A</v>
      </c>
      <c r="T2" s="82" t="s">
        <v>125</v>
      </c>
      <c r="U2" s="83"/>
      <c r="V2" s="1047"/>
      <c r="W2" s="1047"/>
      <c r="X2" s="1047"/>
      <c r="Y2" s="1047"/>
      <c r="Z2" s="1047"/>
      <c r="AA2" s="1047"/>
      <c r="AB2" s="1047"/>
      <c r="AC2" s="1075"/>
      <c r="AD2" s="1076" t="e">
        <f>INDEX(PT_DIFFERENTIATION_NTAR,MATCH(A2,PT_DIFFERENTIATION_NTAR_ID,0))</f>
        <v>#N/A</v>
      </c>
      <c r="AE2" s="1047"/>
      <c r="AF2" s="1047"/>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75"/>
      <c r="BC2"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150"/>
      <c r="BF2" s="150" t="str">
        <f t="shared" ref="BF2:BF8" si="0">IF(T2="","",T2)</f>
        <v>Наименование тарифа</v>
      </c>
      <c r="BG2" s="150"/>
      <c r="BH2" s="150"/>
      <c r="BI2" s="42">
        <v>0</v>
      </c>
    </row>
    <row r="3" ht="21" hidden="1" customHeight="1" spans="1:61">
      <c r="A3" s="45"/>
      <c r="B3" s="45"/>
      <c r="C3" s="45"/>
      <c r="D3" s="45"/>
      <c r="E3" s="1039"/>
      <c r="F3" s="1038">
        <v>1</v>
      </c>
      <c r="G3" s="45"/>
      <c r="H3" s="45"/>
      <c r="I3" s="45"/>
      <c r="J3" s="45"/>
      <c r="K3" s="45"/>
      <c r="L3" s="1040"/>
      <c r="M3" s="46"/>
      <c r="N3" s="46"/>
      <c r="O3" s="46"/>
      <c r="P3" s="47"/>
      <c r="Q3" s="1048"/>
      <c r="R3" s="87"/>
      <c r="S3" s="64" t="e">
        <f>INDEX(PT_DIFFERENTIATION_NUM_TER,MATCH(B3,PT_DIFFERENTIATION_TER_ID,0))</f>
        <v>#N/A</v>
      </c>
      <c r="T3" s="88" t="s">
        <v>402</v>
      </c>
      <c r="U3" s="83"/>
      <c r="V3" s="1047"/>
      <c r="W3" s="1047"/>
      <c r="X3" s="1047"/>
      <c r="Y3" s="1047"/>
      <c r="Z3" s="1047"/>
      <c r="AA3" s="1047"/>
      <c r="AB3" s="1047"/>
      <c r="AC3" s="1075"/>
      <c r="AD3" s="1076" t="e">
        <f>INDEX(PT_DIFFERENTIATION_TER,MATCH(B3,PT_DIFFERENTIATION_TER_ID,0))</f>
        <v>#N/A</v>
      </c>
      <c r="AE3" s="1047"/>
      <c r="AF3" s="1047"/>
      <c r="AG3" s="1047"/>
      <c r="AH3" s="1047"/>
      <c r="AI3" s="1047"/>
      <c r="AJ3" s="1047"/>
      <c r="AK3" s="1047"/>
      <c r="AL3" s="1047"/>
      <c r="AM3" s="1047"/>
      <c r="AN3" s="1047"/>
      <c r="AO3" s="1047"/>
      <c r="AP3" s="1047"/>
      <c r="AQ3" s="1047"/>
      <c r="AR3" s="1047"/>
      <c r="AS3" s="1047"/>
      <c r="AT3" s="1047"/>
      <c r="AU3" s="1047"/>
      <c r="AV3" s="1047"/>
      <c r="AW3" s="1047"/>
      <c r="AX3" s="1047"/>
      <c r="AY3" s="1047"/>
      <c r="AZ3" s="1047"/>
      <c r="BA3" s="1047"/>
      <c r="BB3" s="1075"/>
      <c r="BC3" s="135" t="s">
        <v>403</v>
      </c>
      <c r="BE3" s="150"/>
      <c r="BF3" s="150" t="str">
        <f t="shared" si="0"/>
        <v>Территория действия тарифа</v>
      </c>
      <c r="BG3" s="150"/>
      <c r="BH3" s="150"/>
      <c r="BI3" s="42">
        <v>0</v>
      </c>
    </row>
    <row r="4" ht="33.75" hidden="1" customHeight="1" spans="1:61">
      <c r="A4" s="45"/>
      <c r="B4" s="45"/>
      <c r="C4" s="45"/>
      <c r="D4" s="45"/>
      <c r="E4" s="1039"/>
      <c r="F4" s="1039"/>
      <c r="G4" s="1038">
        <v>1</v>
      </c>
      <c r="H4" s="45"/>
      <c r="I4" s="45"/>
      <c r="J4" s="45"/>
      <c r="K4" s="45"/>
      <c r="L4" s="1040"/>
      <c r="M4" s="46"/>
      <c r="N4" s="46"/>
      <c r="O4" s="46"/>
      <c r="P4" s="1041"/>
      <c r="Q4" s="1048"/>
      <c r="R4" s="87"/>
      <c r="S4" s="64" t="e">
        <f>INDEX(PT_DIFFERENTIATION_NUM_CS,MATCH(C4,PT_DIFFERENTIATION_CS_ID,0))</f>
        <v>#N/A</v>
      </c>
      <c r="T4" s="90" t="s">
        <v>540</v>
      </c>
      <c r="U4" s="83"/>
      <c r="V4" s="1047"/>
      <c r="W4" s="1047"/>
      <c r="X4" s="1047"/>
      <c r="Y4" s="1047"/>
      <c r="Z4" s="1047"/>
      <c r="AA4" s="1047"/>
      <c r="AB4" s="1047"/>
      <c r="AC4" s="1075"/>
      <c r="AD4" s="1076" t="e">
        <f>INDEX(PT_DIFFERENTIATION_CS,MATCH(C4,PT_DIFFERENTIATION_CS_ID,0))</f>
        <v>#N/A</v>
      </c>
      <c r="AE4" s="1047"/>
      <c r="AF4" s="1047"/>
      <c r="AG4" s="1047"/>
      <c r="AH4" s="1047"/>
      <c r="AI4" s="1047"/>
      <c r="AJ4" s="1047"/>
      <c r="AK4" s="1047"/>
      <c r="AL4" s="1047"/>
      <c r="AM4" s="1047"/>
      <c r="AN4" s="1047"/>
      <c r="AO4" s="1047"/>
      <c r="AP4" s="1047"/>
      <c r="AQ4" s="1047"/>
      <c r="AR4" s="1047"/>
      <c r="AS4" s="1047"/>
      <c r="AT4" s="1047"/>
      <c r="AU4" s="1047"/>
      <c r="AV4" s="1047"/>
      <c r="AW4" s="1047"/>
      <c r="AX4" s="1047"/>
      <c r="AY4" s="1047"/>
      <c r="AZ4" s="1047"/>
      <c r="BA4" s="1047"/>
      <c r="BB4" s="1075"/>
      <c r="BC4" s="135" t="s">
        <v>541</v>
      </c>
      <c r="BE4" s="150"/>
      <c r="BF4" s="150" t="str">
        <f t="shared" si="0"/>
        <v>Наименование централизованной системы горячего водоснабжения</v>
      </c>
      <c r="BG4" s="150"/>
      <c r="BH4" s="150"/>
      <c r="BI4" s="42">
        <v>0</v>
      </c>
    </row>
    <row r="5" s="43" customFormat="1" hidden="1" customHeight="1" spans="1:61">
      <c r="A5" s="587"/>
      <c r="B5" s="587"/>
      <c r="C5" s="587"/>
      <c r="D5" s="587"/>
      <c r="E5" s="1039"/>
      <c r="F5" s="1039"/>
      <c r="G5" s="1039"/>
      <c r="H5" s="1038">
        <v>1</v>
      </c>
      <c r="I5" s="587"/>
      <c r="J5" s="587"/>
      <c r="K5" s="587"/>
      <c r="L5" s="608"/>
      <c r="M5" s="282"/>
      <c r="N5" s="282"/>
      <c r="O5" s="282"/>
      <c r="P5" s="1042"/>
      <c r="Q5" s="1049"/>
      <c r="R5" s="96"/>
      <c r="S5" s="329"/>
      <c r="T5" s="1050"/>
      <c r="U5" s="1051"/>
      <c r="V5" s="1052"/>
      <c r="W5" s="1052"/>
      <c r="X5" s="1052"/>
      <c r="Y5" s="1052"/>
      <c r="Z5" s="1052"/>
      <c r="AA5" s="1052"/>
      <c r="AB5" s="1052"/>
      <c r="AC5" s="1077"/>
      <c r="AD5" s="1078"/>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2"/>
      <c r="BB5" s="1077"/>
      <c r="BC5" s="981" t="s">
        <v>407</v>
      </c>
      <c r="BE5" s="150"/>
      <c r="BF5" s="150" t="str">
        <f t="shared" si="0"/>
        <v/>
      </c>
      <c r="BG5" s="150"/>
      <c r="BH5" s="150"/>
      <c r="BI5" s="43">
        <v>0</v>
      </c>
    </row>
    <row r="6" s="43" customFormat="1" hidden="1" customHeight="1" spans="1:61">
      <c r="A6" s="587"/>
      <c r="B6" s="587"/>
      <c r="C6" s="587"/>
      <c r="D6" s="587"/>
      <c r="E6" s="1039"/>
      <c r="F6" s="1039"/>
      <c r="G6" s="1039"/>
      <c r="H6" s="1039"/>
      <c r="I6" s="228" t="str">
        <f>S5&amp;".1"</f>
        <v>.1</v>
      </c>
      <c r="J6" s="587"/>
      <c r="K6" s="587"/>
      <c r="L6" s="608" t="s">
        <v>408</v>
      </c>
      <c r="M6" s="1043"/>
      <c r="N6" s="1043"/>
      <c r="O6" s="1043"/>
      <c r="P6" s="92">
        <v>1</v>
      </c>
      <c r="Q6" s="92"/>
      <c r="R6" s="93"/>
      <c r="S6" s="329"/>
      <c r="T6" s="1053"/>
      <c r="U6" s="1051"/>
      <c r="V6" s="1052"/>
      <c r="W6" s="1052"/>
      <c r="X6" s="1052"/>
      <c r="Y6" s="1052"/>
      <c r="Z6" s="1052"/>
      <c r="AA6" s="1052"/>
      <c r="AB6" s="1052"/>
      <c r="AC6" s="1077"/>
      <c r="AD6" s="1078"/>
      <c r="AE6" s="1052"/>
      <c r="AF6" s="1052"/>
      <c r="AG6" s="1052"/>
      <c r="AH6" s="1052"/>
      <c r="AI6" s="1052"/>
      <c r="AJ6" s="1052"/>
      <c r="AK6" s="1052"/>
      <c r="AL6" s="1052"/>
      <c r="AM6" s="1052"/>
      <c r="AN6" s="1052"/>
      <c r="AO6" s="1052"/>
      <c r="AP6" s="1052"/>
      <c r="AQ6" s="1052"/>
      <c r="AR6" s="1052"/>
      <c r="AS6" s="1052"/>
      <c r="AT6" s="1052"/>
      <c r="AU6" s="1052"/>
      <c r="AV6" s="1052"/>
      <c r="AW6" s="1052"/>
      <c r="AX6" s="1052"/>
      <c r="AY6" s="1052"/>
      <c r="AZ6" s="1052"/>
      <c r="BA6" s="1052"/>
      <c r="BB6" s="1077"/>
      <c r="BC6" s="981"/>
      <c r="BE6" s="150"/>
      <c r="BF6" s="150" t="str">
        <f t="shared" si="0"/>
        <v/>
      </c>
      <c r="BG6" s="150"/>
      <c r="BH6" s="150"/>
      <c r="BI6" s="43">
        <v>0</v>
      </c>
    </row>
    <row r="7" s="43" customFormat="1" hidden="1" customHeight="1" spans="1:61">
      <c r="A7" s="587"/>
      <c r="B7" s="587"/>
      <c r="C7" s="587"/>
      <c r="D7" s="587"/>
      <c r="E7" s="1039"/>
      <c r="F7" s="1039"/>
      <c r="G7" s="1039"/>
      <c r="H7" s="1039"/>
      <c r="I7" s="1044"/>
      <c r="J7" s="228" t="str">
        <f>S5&amp;".1"</f>
        <v>.1</v>
      </c>
      <c r="K7" s="587"/>
      <c r="L7" s="608"/>
      <c r="M7" s="1043"/>
      <c r="N7" s="1043"/>
      <c r="O7" s="1043"/>
      <c r="P7" s="92"/>
      <c r="Q7" s="92">
        <v>1</v>
      </c>
      <c r="R7" s="96"/>
      <c r="S7" s="329"/>
      <c r="T7" s="1054"/>
      <c r="U7" s="1051"/>
      <c r="V7" s="1052"/>
      <c r="W7" s="1052"/>
      <c r="X7" s="1052"/>
      <c r="Y7" s="1052"/>
      <c r="Z7" s="1052"/>
      <c r="AA7" s="1052"/>
      <c r="AB7" s="1052"/>
      <c r="AC7" s="1077"/>
      <c r="AD7" s="1078"/>
      <c r="AE7" s="1052"/>
      <c r="AF7" s="1052"/>
      <c r="AG7" s="1052"/>
      <c r="AH7" s="1052"/>
      <c r="AI7" s="1052"/>
      <c r="AJ7" s="1052"/>
      <c r="AK7" s="1052"/>
      <c r="AL7" s="1052"/>
      <c r="AM7" s="1052"/>
      <c r="AN7" s="1052"/>
      <c r="AO7" s="1052"/>
      <c r="AP7" s="1052"/>
      <c r="AQ7" s="1052"/>
      <c r="AR7" s="1052"/>
      <c r="AS7" s="1052"/>
      <c r="AT7" s="1052"/>
      <c r="AU7" s="1052"/>
      <c r="AV7" s="1052"/>
      <c r="AW7" s="1052"/>
      <c r="AX7" s="1052"/>
      <c r="AY7" s="1052"/>
      <c r="AZ7" s="1052"/>
      <c r="BA7" s="1052"/>
      <c r="BB7" s="1077"/>
      <c r="BC7" s="981"/>
      <c r="BE7" s="150"/>
      <c r="BF7" s="150" t="str">
        <f t="shared" si="0"/>
        <v/>
      </c>
      <c r="BG7" s="150"/>
      <c r="BH7" s="150"/>
      <c r="BI7" s="43">
        <v>0</v>
      </c>
    </row>
    <row r="8" ht="11.25" hidden="1" customHeight="1" spans="1:61">
      <c r="A8" s="45"/>
      <c r="B8" s="45"/>
      <c r="C8" s="45"/>
      <c r="D8" s="45"/>
      <c r="E8" s="1039"/>
      <c r="F8" s="1039"/>
      <c r="G8" s="1039"/>
      <c r="H8" s="1039"/>
      <c r="I8" s="1044"/>
      <c r="J8" s="1044"/>
      <c r="K8" s="228" t="e">
        <f>S4&amp;".1"</f>
        <v>#N/A</v>
      </c>
      <c r="L8" s="1040"/>
      <c r="P8" s="92"/>
      <c r="Q8" s="92"/>
      <c r="R8" s="1055">
        <v>1</v>
      </c>
      <c r="S8" s="1056" t="e">
        <f>$K8</f>
        <v>#N/A</v>
      </c>
      <c r="T8" s="1057"/>
      <c r="U8" s="83"/>
      <c r="V8" s="101"/>
      <c r="W8" s="137"/>
      <c r="X8" s="101"/>
      <c r="Y8" s="137"/>
      <c r="Z8" s="138"/>
      <c r="AA8" s="139" t="s">
        <v>62</v>
      </c>
      <c r="AB8" s="138"/>
      <c r="AC8" s="139" t="s">
        <v>62</v>
      </c>
      <c r="AD8" s="472" t="s">
        <v>62</v>
      </c>
      <c r="AE8" s="1079"/>
      <c r="AF8" s="661">
        <v>1</v>
      </c>
      <c r="AG8" s="1092"/>
      <c r="AH8" s="139" t="s">
        <v>62</v>
      </c>
      <c r="AI8" s="1079"/>
      <c r="AJ8" s="661">
        <v>1</v>
      </c>
      <c r="AK8" s="1093" t="s">
        <v>28</v>
      </c>
      <c r="AL8" s="139" t="s">
        <v>62</v>
      </c>
      <c r="AM8" s="892"/>
      <c r="AN8" s="661">
        <v>1</v>
      </c>
      <c r="AO8" s="1101"/>
      <c r="AP8" s="1102" t="s">
        <v>62</v>
      </c>
      <c r="AQ8" s="1103"/>
      <c r="AR8" s="661">
        <v>1</v>
      </c>
      <c r="AS8" s="446" t="s">
        <v>28</v>
      </c>
      <c r="AT8" s="101"/>
      <c r="AU8" s="137"/>
      <c r="AV8" s="101"/>
      <c r="AW8" s="137"/>
      <c r="AX8" s="138"/>
      <c r="AY8" s="139" t="s">
        <v>62</v>
      </c>
      <c r="AZ8" s="138"/>
      <c r="BA8" s="139" t="s">
        <v>62</v>
      </c>
      <c r="BB8" s="1106"/>
      <c r="BC8" s="140" t="s">
        <v>503</v>
      </c>
      <c r="BE8" s="150"/>
      <c r="BF8" s="150" t="str">
        <f t="shared" si="0"/>
        <v/>
      </c>
      <c r="BG8" s="150"/>
      <c r="BH8" s="150"/>
      <c r="BI8" s="42">
        <v>0</v>
      </c>
    </row>
    <row r="9" ht="11.25" hidden="1" customHeight="1" spans="1:61">
      <c r="A9" s="45"/>
      <c r="B9" s="45"/>
      <c r="C9" s="45"/>
      <c r="D9" s="45"/>
      <c r="E9" s="1039"/>
      <c r="F9" s="1039"/>
      <c r="G9" s="1039"/>
      <c r="H9" s="1039"/>
      <c r="I9" s="1044"/>
      <c r="J9" s="1044"/>
      <c r="K9" s="228"/>
      <c r="L9" s="1040"/>
      <c r="P9" s="92"/>
      <c r="Q9" s="92"/>
      <c r="R9" s="1055"/>
      <c r="S9" s="1058"/>
      <c r="T9" s="1059"/>
      <c r="U9" s="83"/>
      <c r="V9" s="1060"/>
      <c r="W9" s="1061"/>
      <c r="X9" s="1060"/>
      <c r="Y9" s="1061"/>
      <c r="Z9" s="1060"/>
      <c r="AA9" s="1060"/>
      <c r="AB9" s="1060"/>
      <c r="AC9" s="1060"/>
      <c r="AD9" s="474"/>
      <c r="AE9" s="1079"/>
      <c r="AF9" s="661"/>
      <c r="AG9" s="1092"/>
      <c r="AH9" s="139"/>
      <c r="AI9" s="1079"/>
      <c r="AJ9" s="661"/>
      <c r="AK9" s="1093"/>
      <c r="AL9" s="139"/>
      <c r="AM9" s="896"/>
      <c r="AN9" s="661"/>
      <c r="AO9" s="1101"/>
      <c r="AP9" s="1104"/>
      <c r="AQ9" s="330"/>
      <c r="AR9" s="331"/>
      <c r="AS9" s="331" t="s">
        <v>504</v>
      </c>
      <c r="AT9" s="1060"/>
      <c r="AU9" s="1061"/>
      <c r="AV9" s="1060"/>
      <c r="AW9" s="1061"/>
      <c r="AX9" s="1060"/>
      <c r="AY9" s="1060"/>
      <c r="AZ9" s="1060"/>
      <c r="BA9" s="1060"/>
      <c r="BB9" s="1107"/>
      <c r="BC9" s="143"/>
      <c r="BE9" s="150"/>
      <c r="BF9" s="150"/>
      <c r="BG9" s="150"/>
      <c r="BH9" s="150"/>
      <c r="BI9" s="42">
        <v>0</v>
      </c>
    </row>
    <row r="10" ht="11.25" hidden="1" customHeight="1" spans="1:61">
      <c r="A10" s="45"/>
      <c r="B10" s="45"/>
      <c r="C10" s="45"/>
      <c r="D10" s="45"/>
      <c r="E10" s="1039"/>
      <c r="F10" s="1039"/>
      <c r="G10" s="1039"/>
      <c r="H10" s="1039"/>
      <c r="I10" s="1044"/>
      <c r="J10" s="1044"/>
      <c r="K10" s="228"/>
      <c r="L10" s="1040"/>
      <c r="P10" s="92"/>
      <c r="Q10" s="92"/>
      <c r="R10" s="1055"/>
      <c r="S10" s="1058"/>
      <c r="T10" s="1059"/>
      <c r="U10" s="83"/>
      <c r="V10" s="1060"/>
      <c r="W10" s="1061"/>
      <c r="X10" s="1060"/>
      <c r="Y10" s="1061"/>
      <c r="Z10" s="1060"/>
      <c r="AA10" s="1060"/>
      <c r="AB10" s="1060"/>
      <c r="AC10" s="1060"/>
      <c r="AD10" s="474"/>
      <c r="AE10" s="1079"/>
      <c r="AF10" s="661"/>
      <c r="AG10" s="1092"/>
      <c r="AH10" s="139"/>
      <c r="AI10" s="1079"/>
      <c r="AJ10" s="661"/>
      <c r="AK10" s="1093"/>
      <c r="AL10" s="139"/>
      <c r="AM10" s="330"/>
      <c r="AN10" s="598"/>
      <c r="AO10" s="598" t="s">
        <v>505</v>
      </c>
      <c r="AP10" s="331"/>
      <c r="AQ10" s="331"/>
      <c r="AR10" s="331"/>
      <c r="AS10" s="1060"/>
      <c r="AT10" s="1060"/>
      <c r="AU10" s="1061"/>
      <c r="AV10" s="1060"/>
      <c r="AW10" s="1061"/>
      <c r="AX10" s="1060"/>
      <c r="AY10" s="1060"/>
      <c r="AZ10" s="1060"/>
      <c r="BA10" s="1060"/>
      <c r="BB10" s="1107"/>
      <c r="BC10" s="143"/>
      <c r="BE10" s="150"/>
      <c r="BF10" s="150"/>
      <c r="BG10" s="150"/>
      <c r="BH10" s="150"/>
      <c r="BI10" s="42">
        <v>0</v>
      </c>
    </row>
    <row r="11" ht="11.25" hidden="1" customHeight="1" spans="1:61">
      <c r="A11" s="45"/>
      <c r="B11" s="45"/>
      <c r="C11" s="45"/>
      <c r="D11" s="45"/>
      <c r="E11" s="1039"/>
      <c r="F11" s="1039"/>
      <c r="G11" s="1039"/>
      <c r="H11" s="1039"/>
      <c r="I11" s="1044"/>
      <c r="J11" s="1044"/>
      <c r="K11" s="228"/>
      <c r="L11" s="1040"/>
      <c r="P11" s="92"/>
      <c r="Q11" s="92"/>
      <c r="R11" s="1055"/>
      <c r="S11" s="1058"/>
      <c r="T11" s="1059"/>
      <c r="U11" s="83"/>
      <c r="V11" s="1060"/>
      <c r="W11" s="1061"/>
      <c r="X11" s="1060"/>
      <c r="Y11" s="1061"/>
      <c r="Z11" s="1060"/>
      <c r="AA11" s="1060"/>
      <c r="AB11" s="1060"/>
      <c r="AC11" s="1060"/>
      <c r="AD11" s="474"/>
      <c r="AE11" s="1079"/>
      <c r="AF11" s="661"/>
      <c r="AG11" s="1092"/>
      <c r="AH11" s="139"/>
      <c r="AI11" s="900"/>
      <c r="AJ11" s="226"/>
      <c r="AK11" s="1094" t="s">
        <v>506</v>
      </c>
      <c r="AL11" s="1060"/>
      <c r="AM11" s="1060"/>
      <c r="AN11" s="1060"/>
      <c r="AO11" s="1060"/>
      <c r="AP11" s="1060"/>
      <c r="AQ11" s="1060"/>
      <c r="AR11" s="1060"/>
      <c r="AS11" s="1060"/>
      <c r="AT11" s="1060"/>
      <c r="AU11" s="1061"/>
      <c r="AV11" s="1060"/>
      <c r="AW11" s="1061"/>
      <c r="AX11" s="1060"/>
      <c r="AY11" s="1060"/>
      <c r="AZ11" s="1060"/>
      <c r="BA11" s="1060"/>
      <c r="BB11" s="1107"/>
      <c r="BC11" s="143"/>
      <c r="BE11" s="150"/>
      <c r="BF11" s="150"/>
      <c r="BG11" s="150"/>
      <c r="BH11" s="150"/>
      <c r="BI11" s="42">
        <v>0</v>
      </c>
    </row>
    <row r="12" ht="11.25" hidden="1" customHeight="1" spans="1:61">
      <c r="A12" s="45"/>
      <c r="B12" s="45"/>
      <c r="C12" s="45"/>
      <c r="D12" s="45"/>
      <c r="E12" s="1039"/>
      <c r="F12" s="1039"/>
      <c r="G12" s="1039"/>
      <c r="H12" s="1039"/>
      <c r="I12" s="1044"/>
      <c r="J12" s="1044"/>
      <c r="K12" s="228"/>
      <c r="L12" s="1040"/>
      <c r="P12" s="92"/>
      <c r="Q12" s="92"/>
      <c r="R12" s="1055"/>
      <c r="S12" s="1062"/>
      <c r="T12" s="1063"/>
      <c r="U12" s="83"/>
      <c r="V12" s="1060"/>
      <c r="W12" s="1064" t="str">
        <f>Z8&amp;"-"&amp;AB8</f>
        <v>-</v>
      </c>
      <c r="X12" s="1060"/>
      <c r="Y12" s="1064" t="str">
        <f>AB8&amp;"-"&amp;AD8</f>
        <v>-да</v>
      </c>
      <c r="Z12" s="1060"/>
      <c r="AA12" s="1060"/>
      <c r="AB12" s="1060"/>
      <c r="AC12" s="1060"/>
      <c r="AD12" s="477"/>
      <c r="AE12" s="1080"/>
      <c r="AF12" s="1081"/>
      <c r="AG12" s="331" t="s">
        <v>507</v>
      </c>
      <c r="AH12" s="1060"/>
      <c r="AI12" s="1060"/>
      <c r="AJ12" s="1060"/>
      <c r="AK12" s="1060"/>
      <c r="AL12" s="1060"/>
      <c r="AM12" s="1060"/>
      <c r="AN12" s="1060"/>
      <c r="AO12" s="1060"/>
      <c r="AP12" s="1060"/>
      <c r="AQ12" s="1060"/>
      <c r="AR12" s="1060"/>
      <c r="AS12" s="1060"/>
      <c r="AT12" s="1060"/>
      <c r="AU12" s="1064" t="str">
        <f>AX8&amp;"-"&amp;AZ8</f>
        <v>-</v>
      </c>
      <c r="AV12" s="1060"/>
      <c r="AW12" s="1064" t="str">
        <f>AZ8&amp;"-"&amp;BB8</f>
        <v>-</v>
      </c>
      <c r="AX12" s="1060"/>
      <c r="AY12" s="1060"/>
      <c r="AZ12" s="1060"/>
      <c r="BA12" s="1060"/>
      <c r="BB12" s="1108" t="str">
        <f>BE8&amp;"-"&amp;BG8</f>
        <v>-</v>
      </c>
      <c r="BC12" s="143"/>
      <c r="BE12" s="150"/>
      <c r="BF12" s="150" t="str">
        <f t="shared" ref="BF12:BF18" si="1">IF(T12="","",T12)</f>
        <v/>
      </c>
      <c r="BG12" s="150"/>
      <c r="BH12" s="150"/>
      <c r="BI12" s="42">
        <v>0</v>
      </c>
    </row>
    <row r="13" ht="11.25" hidden="1" customHeight="1" spans="1:61">
      <c r="A13" s="45"/>
      <c r="B13" s="45"/>
      <c r="C13" s="45"/>
      <c r="D13" s="45"/>
      <c r="E13" s="1039"/>
      <c r="F13" s="1039"/>
      <c r="G13" s="1039"/>
      <c r="H13" s="1039"/>
      <c r="I13" s="1044"/>
      <c r="J13" s="228"/>
      <c r="K13" s="45"/>
      <c r="L13" s="1040"/>
      <c r="P13" s="92"/>
      <c r="Q13" s="92"/>
      <c r="R13" s="93"/>
      <c r="S13" s="104"/>
      <c r="T13" s="107" t="s">
        <v>470</v>
      </c>
      <c r="U13" s="106"/>
      <c r="V13" s="106"/>
      <c r="W13" s="106"/>
      <c r="X13" s="106"/>
      <c r="Y13" s="106"/>
      <c r="Z13" s="106"/>
      <c r="AA13" s="106"/>
      <c r="AB13" s="106"/>
      <c r="AC13" s="106"/>
      <c r="AD13" s="1082"/>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44"/>
      <c r="BC13" s="145"/>
      <c r="BE13" s="150"/>
      <c r="BF13" s="150" t="str">
        <f t="shared" si="1"/>
        <v>Добавить строку</v>
      </c>
      <c r="BG13" s="150"/>
      <c r="BH13" s="150"/>
      <c r="BI13" s="42">
        <v>0</v>
      </c>
    </row>
    <row r="14" s="43" customFormat="1" hidden="1" customHeight="1" spans="1:61">
      <c r="A14" s="587"/>
      <c r="B14" s="587"/>
      <c r="C14" s="587"/>
      <c r="D14" s="587"/>
      <c r="E14" s="1039"/>
      <c r="F14" s="1039"/>
      <c r="G14" s="1039"/>
      <c r="H14" s="1039"/>
      <c r="I14" s="228"/>
      <c r="J14" s="587"/>
      <c r="K14" s="587"/>
      <c r="L14" s="608"/>
      <c r="M14" s="1043"/>
      <c r="N14" s="1043"/>
      <c r="O14" s="1043"/>
      <c r="P14" s="92"/>
      <c r="Q14" s="92"/>
      <c r="R14" s="93"/>
      <c r="S14" s="1065"/>
      <c r="T14" s="1066"/>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109"/>
      <c r="BE14" s="150"/>
      <c r="BF14" s="150" t="str">
        <f t="shared" si="1"/>
        <v/>
      </c>
      <c r="BG14" s="150"/>
      <c r="BH14" s="150"/>
      <c r="BI14" s="43">
        <v>0</v>
      </c>
    </row>
    <row r="15" s="43" customFormat="1" hidden="1" customHeight="1" spans="1:61">
      <c r="A15" s="587"/>
      <c r="B15" s="587"/>
      <c r="C15" s="587"/>
      <c r="D15" s="587"/>
      <c r="E15" s="1039"/>
      <c r="F15" s="1039"/>
      <c r="G15" s="1039"/>
      <c r="H15" s="1038"/>
      <c r="I15" s="587"/>
      <c r="J15" s="587"/>
      <c r="K15" s="587"/>
      <c r="L15" s="608"/>
      <c r="M15" s="282"/>
      <c r="N15" s="282"/>
      <c r="P15" s="151"/>
      <c r="Q15" s="1068"/>
      <c r="R15" s="1069"/>
      <c r="S15" s="1065"/>
      <c r="T15" s="1066"/>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P15" s="1067"/>
      <c r="AQ15" s="1067"/>
      <c r="AR15" s="1067"/>
      <c r="AS15" s="1067"/>
      <c r="AT15" s="1067"/>
      <c r="AU15" s="1067"/>
      <c r="AV15" s="1067"/>
      <c r="AW15" s="1067"/>
      <c r="AX15" s="1067"/>
      <c r="AY15" s="1067"/>
      <c r="AZ15" s="1067"/>
      <c r="BA15" s="1067"/>
      <c r="BB15" s="1067"/>
      <c r="BC15" s="1109"/>
      <c r="BE15" s="150"/>
      <c r="BF15" s="150" t="str">
        <f t="shared" si="1"/>
        <v/>
      </c>
      <c r="BG15" s="150"/>
      <c r="BH15" s="150"/>
      <c r="BI15" s="43">
        <v>0</v>
      </c>
    </row>
    <row r="16" s="43" customFormat="1" hidden="1" customHeight="1" spans="1:61">
      <c r="A16" s="587"/>
      <c r="B16" s="587"/>
      <c r="C16" s="587"/>
      <c r="D16" s="587"/>
      <c r="E16" s="1039"/>
      <c r="F16" s="1039"/>
      <c r="G16" s="1038"/>
      <c r="H16" s="587"/>
      <c r="I16" s="587"/>
      <c r="J16" s="587"/>
      <c r="K16" s="587"/>
      <c r="L16" s="608"/>
      <c r="M16" s="282"/>
      <c r="N16" s="282"/>
      <c r="P16" s="151"/>
      <c r="Q16" s="1068"/>
      <c r="R16" s="151"/>
      <c r="S16" s="1070"/>
      <c r="T16" s="1071"/>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E16" s="150"/>
      <c r="BF16" s="150" t="str">
        <f t="shared" si="1"/>
        <v/>
      </c>
      <c r="BG16" s="150"/>
      <c r="BH16" s="150"/>
      <c r="BI16" s="43">
        <v>0</v>
      </c>
    </row>
    <row r="17" s="43" customFormat="1" hidden="1" customHeight="1" spans="1:61">
      <c r="A17" s="587"/>
      <c r="B17" s="587"/>
      <c r="C17" s="587"/>
      <c r="D17" s="587"/>
      <c r="E17" s="1039"/>
      <c r="F17" s="1038"/>
      <c r="G17" s="587"/>
      <c r="H17" s="587"/>
      <c r="I17" s="587"/>
      <c r="J17" s="587"/>
      <c r="K17" s="587"/>
      <c r="L17" s="608"/>
      <c r="M17" s="1045"/>
      <c r="N17" s="1045"/>
      <c r="P17" s="151"/>
      <c r="Q17" s="1068"/>
      <c r="R17" s="151"/>
      <c r="S17" s="1070"/>
      <c r="T17" s="1071" t="s">
        <v>251</v>
      </c>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c r="BA17" s="306"/>
      <c r="BB17" s="306"/>
      <c r="BC17" s="306"/>
      <c r="BE17" s="150"/>
      <c r="BF17" s="150" t="str">
        <f t="shared" si="1"/>
        <v>Добавить централизованную систему для дифференциации</v>
      </c>
      <c r="BG17" s="150"/>
      <c r="BH17" s="150"/>
      <c r="BI17" s="43">
        <v>0</v>
      </c>
    </row>
    <row r="18" s="43" customFormat="1" hidden="1" customHeight="1" spans="1:61">
      <c r="A18" s="587"/>
      <c r="B18" s="587"/>
      <c r="C18" s="587"/>
      <c r="D18" s="587"/>
      <c r="E18" s="1038"/>
      <c r="F18" s="587"/>
      <c r="G18" s="587"/>
      <c r="H18" s="587"/>
      <c r="I18" s="587"/>
      <c r="J18" s="587"/>
      <c r="K18" s="587"/>
      <c r="L18" s="608"/>
      <c r="M18" s="1045"/>
      <c r="N18" s="1045"/>
      <c r="P18" s="151"/>
      <c r="Q18" s="1068"/>
      <c r="R18" s="151"/>
      <c r="S18" s="1070"/>
      <c r="T18" s="1071" t="s">
        <v>252</v>
      </c>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E18" s="150"/>
      <c r="BF18" s="150" t="str">
        <f t="shared" si="1"/>
        <v>Добавить территорию для дифференциации</v>
      </c>
      <c r="BG18" s="150"/>
      <c r="BH18" s="150"/>
      <c r="BI18" s="43">
        <v>0</v>
      </c>
    </row>
    <row r="19" hidden="1" customHeight="1" spans="61:61">
      <c r="BI19" s="42">
        <v>0</v>
      </c>
    </row>
    <row r="20" hidden="1" customHeight="1" spans="30:61">
      <c r="AD20" s="306" t="s">
        <v>19</v>
      </c>
      <c r="AE20" s="1083"/>
      <c r="AF20" s="306">
        <v>1</v>
      </c>
      <c r="AG20" s="1095"/>
      <c r="AH20" s="306" t="s">
        <v>19</v>
      </c>
      <c r="AI20" s="1083"/>
      <c r="AJ20" s="306">
        <v>1</v>
      </c>
      <c r="AK20" s="1095"/>
      <c r="AL20" s="306" t="s">
        <v>19</v>
      </c>
      <c r="AM20" s="1096"/>
      <c r="AN20" s="306">
        <v>1</v>
      </c>
      <c r="AO20" s="627"/>
      <c r="AP20" s="306" t="s">
        <v>19</v>
      </c>
      <c r="AQ20" s="1096"/>
      <c r="AR20" s="306">
        <v>1</v>
      </c>
      <c r="AS20" s="627"/>
      <c r="AT20" s="102"/>
      <c r="AU20" s="1105"/>
      <c r="AV20" s="102"/>
      <c r="AW20" s="1105"/>
      <c r="AX20" s="1110"/>
      <c r="AY20" s="493" t="s">
        <v>62</v>
      </c>
      <c r="AZ20" s="1110"/>
      <c r="BA20" s="493" t="s">
        <v>62</v>
      </c>
      <c r="BI20" s="42">
        <v>0</v>
      </c>
    </row>
    <row r="21" hidden="1" customHeight="1" spans="56:61">
      <c r="BD21" s="36"/>
      <c r="BE21" s="36"/>
      <c r="BF21" s="36"/>
      <c r="BG21" s="36"/>
      <c r="BH21" s="36"/>
      <c r="BI21" s="42">
        <v>0</v>
      </c>
    </row>
    <row r="22" hidden="1" customHeight="1" spans="15:61">
      <c r="O22" s="1046" t="s">
        <v>420</v>
      </c>
      <c r="Z22" s="1084"/>
      <c r="AB22" s="1084"/>
      <c r="AX22" s="1084"/>
      <c r="AZ22" s="1084"/>
      <c r="BD22" s="36"/>
      <c r="BE22" s="36"/>
      <c r="BF22" s="36"/>
      <c r="BG22" s="36"/>
      <c r="BH22" s="36"/>
      <c r="BI22" s="42">
        <v>0</v>
      </c>
    </row>
    <row r="23" hidden="1" customHeight="1" spans="56:61">
      <c r="BD23" s="36"/>
      <c r="BE23" s="36"/>
      <c r="BF23" s="36"/>
      <c r="BG23" s="36"/>
      <c r="BH23" s="36"/>
      <c r="BI23" s="42">
        <v>0</v>
      </c>
    </row>
    <row r="24" s="1036" customFormat="1" hidden="1" customHeight="1" spans="13:61">
      <c r="M24" s="48"/>
      <c r="N24" s="48"/>
      <c r="O24" s="1036" t="s">
        <v>421</v>
      </c>
      <c r="P24" s="48"/>
      <c r="Q24" s="1072"/>
      <c r="R24" s="1072"/>
      <c r="AA24" s="1036" t="s">
        <v>423</v>
      </c>
      <c r="AC24" s="1036" t="s">
        <v>424</v>
      </c>
      <c r="AD24" s="1036" t="s">
        <v>471</v>
      </c>
      <c r="AH24" s="1036" t="s">
        <v>471</v>
      </c>
      <c r="AK24" s="1036" t="s">
        <v>508</v>
      </c>
      <c r="AL24" s="1036" t="s">
        <v>471</v>
      </c>
      <c r="AP24" s="1036" t="s">
        <v>471</v>
      </c>
      <c r="AY24" s="1036" t="s">
        <v>423</v>
      </c>
      <c r="BA24" s="1036" t="s">
        <v>424</v>
      </c>
      <c r="BD24" s="1111"/>
      <c r="BE24" s="1111"/>
      <c r="BF24" s="1111"/>
      <c r="BG24" s="1111"/>
      <c r="BH24" s="1111"/>
      <c r="BI24" s="1036">
        <v>0</v>
      </c>
    </row>
    <row r="25" hidden="1" customHeight="1" spans="15:61">
      <c r="O25" s="1040"/>
      <c r="BD25" s="36"/>
      <c r="BE25" s="36"/>
      <c r="BF25" s="36"/>
      <c r="BG25" s="36"/>
      <c r="BH25" s="36"/>
      <c r="BI25" s="42">
        <v>0</v>
      </c>
    </row>
    <row r="26" hidden="1" customHeight="1" spans="15:61">
      <c r="O26" s="1040"/>
      <c r="BD26" s="36"/>
      <c r="BE26" s="36"/>
      <c r="BF26" s="36"/>
      <c r="BG26" s="36"/>
      <c r="BH26" s="36"/>
      <c r="BI26" s="42">
        <v>0</v>
      </c>
    </row>
    <row r="27" ht="14.7" customHeight="1" spans="17:61">
      <c r="Q27" s="1073"/>
      <c r="R27" s="50"/>
      <c r="S27" s="51"/>
      <c r="T27" s="52"/>
      <c r="U27" s="52"/>
      <c r="BI27" s="42">
        <v>14</v>
      </c>
    </row>
    <row r="28" ht="14.7" customHeight="1" spans="17:61">
      <c r="Q28" s="1073"/>
      <c r="R28" s="50"/>
      <c r="S28" s="75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750"/>
      <c r="U28" s="750"/>
      <c r="V28" s="750"/>
      <c r="W28" s="750"/>
      <c r="X28" s="750"/>
      <c r="Y28" s="750"/>
      <c r="Z28" s="750"/>
      <c r="AA28" s="750"/>
      <c r="AB28" s="750"/>
      <c r="AC28" s="750"/>
      <c r="AD28" s="750"/>
      <c r="AE28" s="750"/>
      <c r="AF28" s="750"/>
      <c r="AG28" s="750"/>
      <c r="AH28" s="750"/>
      <c r="AI28" s="750"/>
      <c r="AJ28" s="750"/>
      <c r="AK28" s="750"/>
      <c r="AL28" s="750"/>
      <c r="AM28" s="750"/>
      <c r="AN28" s="750"/>
      <c r="AO28" s="750"/>
      <c r="AP28" s="750"/>
      <c r="AQ28" s="750"/>
      <c r="AR28" s="750"/>
      <c r="AS28" s="750"/>
      <c r="AT28" s="750"/>
      <c r="AU28" s="750"/>
      <c r="AV28" s="750"/>
      <c r="AW28" s="750"/>
      <c r="AX28" s="750"/>
      <c r="AY28" s="750"/>
      <c r="AZ28" s="750"/>
      <c r="BA28" s="120"/>
      <c r="BI28" s="42">
        <v>14</v>
      </c>
    </row>
    <row r="29" ht="14.7" customHeight="1" spans="17:61">
      <c r="Q29" s="1073"/>
      <c r="R29" s="50"/>
      <c r="S29" s="657" t="str">
        <f>IF(org=0,"Не определено",org)</f>
        <v>АО "ОЭЗ ППТ "Алабуга"</v>
      </c>
      <c r="T29" s="657"/>
      <c r="U29" s="657"/>
      <c r="V29" s="657"/>
      <c r="W29" s="657"/>
      <c r="X29" s="657"/>
      <c r="Y29" s="657"/>
      <c r="Z29" s="657"/>
      <c r="AA29" s="657"/>
      <c r="AB29" s="657"/>
      <c r="AC29" s="657"/>
      <c r="AD29" s="657"/>
      <c r="AE29" s="657"/>
      <c r="AF29" s="657"/>
      <c r="AG29" s="657"/>
      <c r="AH29" s="657"/>
      <c r="AI29" s="657"/>
      <c r="AJ29" s="657"/>
      <c r="AK29" s="657"/>
      <c r="AL29" s="657"/>
      <c r="AM29" s="657"/>
      <c r="AN29" s="657"/>
      <c r="AO29" s="657"/>
      <c r="AP29" s="657"/>
      <c r="AQ29" s="657"/>
      <c r="AR29" s="657"/>
      <c r="AS29" s="657"/>
      <c r="AT29" s="657"/>
      <c r="AU29" s="657"/>
      <c r="AV29" s="657"/>
      <c r="AW29" s="657"/>
      <c r="AX29" s="657"/>
      <c r="AY29" s="657"/>
      <c r="AZ29" s="657"/>
      <c r="BA29" s="120"/>
      <c r="BI29" s="42">
        <v>14</v>
      </c>
    </row>
    <row r="30" customHeight="1" spans="17:61">
      <c r="Q30" s="1073"/>
      <c r="R30" s="50"/>
      <c r="S30" s="51"/>
      <c r="T30" s="52"/>
      <c r="U30" s="52"/>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I30" s="42">
        <v>0</v>
      </c>
    </row>
    <row r="31" s="35" customFormat="1" ht="25.5" customHeight="1" spans="1:61">
      <c r="A31" s="44"/>
      <c r="B31" s="44"/>
      <c r="C31" s="44"/>
      <c r="D31" s="44"/>
      <c r="E31" s="44"/>
      <c r="F31" s="44"/>
      <c r="G31" s="44"/>
      <c r="H31" s="44"/>
      <c r="I31" s="44"/>
      <c r="J31" s="44"/>
      <c r="K31" s="44"/>
      <c r="L31" s="1040"/>
      <c r="M31" s="44"/>
      <c r="N31" s="44"/>
      <c r="O31" s="44"/>
      <c r="P31" s="44"/>
      <c r="Q31" s="44"/>
      <c r="S31" s="57" t="s">
        <v>42</v>
      </c>
      <c r="T31" s="57"/>
      <c r="U31" s="1074"/>
      <c r="V31" s="59" t="str">
        <f>IF(TITLE_NAME_OR_PR_CHANGE="",IF(TITLE_NAME_OR_PR="","",TITLE_NAME_OR_PR),TITLE_NAME_OR_PR_CHANGE)</f>
        <v>Государственный комитет РТ по тарифам</v>
      </c>
      <c r="W31" s="59"/>
      <c r="X31" s="59"/>
      <c r="Y31" s="59"/>
      <c r="Z31" s="59"/>
      <c r="AA31" s="59"/>
      <c r="AB31" s="59"/>
      <c r="AC31" s="42"/>
      <c r="AD31" s="59" t="str">
        <f>IF(TITLE_NAME_OR_PR_CHANGE="",IF(TITLE_NAME_OR_PR="","",TITLE_NAME_OR_PR),TITLE_NAME_OR_PR_CHANGE)</f>
        <v>Государственный комитет РТ по тарифам</v>
      </c>
      <c r="AE31" s="59"/>
      <c r="AF31" s="59"/>
      <c r="AG31" s="59"/>
      <c r="AH31" s="59"/>
      <c r="AI31" s="59"/>
      <c r="AJ31" s="59"/>
      <c r="AK31" s="59"/>
      <c r="AL31" s="59"/>
      <c r="AM31" s="59"/>
      <c r="AN31" s="59"/>
      <c r="AO31" s="59"/>
      <c r="AP31" s="59"/>
      <c r="AQ31" s="59"/>
      <c r="AR31" s="59"/>
      <c r="AS31" s="59"/>
      <c r="AT31" s="59"/>
      <c r="AU31" s="59"/>
      <c r="AV31" s="59"/>
      <c r="AW31" s="59"/>
      <c r="AX31" s="59"/>
      <c r="AY31" s="59"/>
      <c r="AZ31" s="59"/>
      <c r="BA31" s="42"/>
      <c r="BB31" s="42"/>
      <c r="BC31" s="121"/>
      <c r="BD31" s="150"/>
      <c r="BE31" s="150"/>
      <c r="BF31" s="150"/>
      <c r="BG31" s="150"/>
      <c r="BH31" s="150"/>
      <c r="BI31" s="35">
        <v>0</v>
      </c>
    </row>
    <row r="32" s="35" customFormat="1" ht="18.75" customHeight="1" spans="1:61">
      <c r="A32" s="44"/>
      <c r="B32" s="44"/>
      <c r="C32" s="44"/>
      <c r="D32" s="44"/>
      <c r="E32" s="44"/>
      <c r="F32" s="44"/>
      <c r="G32" s="44"/>
      <c r="H32" s="44"/>
      <c r="I32" s="44"/>
      <c r="J32" s="44"/>
      <c r="K32" s="44"/>
      <c r="L32" s="1040"/>
      <c r="M32" s="44"/>
      <c r="N32" s="44"/>
      <c r="O32" s="44"/>
      <c r="P32" s="44"/>
      <c r="Q32" s="44"/>
      <c r="S32" s="57" t="s">
        <v>426</v>
      </c>
      <c r="T32" s="57"/>
      <c r="U32" s="1074"/>
      <c r="V32" s="788">
        <f>IF(TITLE_DATE_PR_CHANGE="",IF(TITLE_DATE_PR="","",TITLE_DATE_PR),TITLE_DATE_PR_CHANGE)</f>
        <v>45525</v>
      </c>
      <c r="W32" s="788"/>
      <c r="X32" s="788"/>
      <c r="Y32" s="788"/>
      <c r="Z32" s="788"/>
      <c r="AA32" s="788"/>
      <c r="AB32" s="788"/>
      <c r="AC32" s="42"/>
      <c r="AD32" s="788">
        <f>IF(TITLE_DATE_PR_CHANGE="",IF(TITLE_DATE_PR="","",TITLE_DATE_PR),TITLE_DATE_PR_CHANGE)</f>
        <v>45525</v>
      </c>
      <c r="AE32" s="788"/>
      <c r="AF32" s="788"/>
      <c r="AG32" s="788"/>
      <c r="AH32" s="788"/>
      <c r="AI32" s="788"/>
      <c r="AJ32" s="788"/>
      <c r="AK32" s="788"/>
      <c r="AL32" s="788"/>
      <c r="AM32" s="788"/>
      <c r="AN32" s="788"/>
      <c r="AO32" s="788"/>
      <c r="AP32" s="788"/>
      <c r="AQ32" s="788"/>
      <c r="AR32" s="788"/>
      <c r="AS32" s="788"/>
      <c r="AT32" s="788"/>
      <c r="AU32" s="788"/>
      <c r="AV32" s="788"/>
      <c r="AW32" s="788"/>
      <c r="AX32" s="788"/>
      <c r="AY32" s="788"/>
      <c r="AZ32" s="788"/>
      <c r="BA32" s="42"/>
      <c r="BB32" s="42"/>
      <c r="BC32" s="121"/>
      <c r="BD32" s="150"/>
      <c r="BE32" s="150"/>
      <c r="BF32" s="150"/>
      <c r="BG32" s="150"/>
      <c r="BH32" s="150"/>
      <c r="BI32" s="35">
        <v>0</v>
      </c>
    </row>
    <row r="33" s="35" customFormat="1" ht="18.75" customHeight="1" spans="1:61">
      <c r="A33" s="44"/>
      <c r="B33" s="44"/>
      <c r="C33" s="44"/>
      <c r="D33" s="44"/>
      <c r="E33" s="44"/>
      <c r="F33" s="44"/>
      <c r="G33" s="44"/>
      <c r="H33" s="44"/>
      <c r="I33" s="44"/>
      <c r="J33" s="44"/>
      <c r="K33" s="44"/>
      <c r="L33" s="1040"/>
      <c r="M33" s="44"/>
      <c r="N33" s="44"/>
      <c r="O33" s="44"/>
      <c r="P33" s="44"/>
      <c r="Q33" s="44"/>
      <c r="S33" s="57" t="s">
        <v>427</v>
      </c>
      <c r="T33" s="57"/>
      <c r="U33" s="1074"/>
      <c r="V33" s="59" t="str">
        <f>IF(TITLE_NUMBER_PR_CHANGE="",IF(TITLE_NUMBER_PR="","",TITLE_NUMBER_PR),TITLE_NUMBER_PR_CHANGE)</f>
        <v>108-73/тп-2024</v>
      </c>
      <c r="W33" s="59"/>
      <c r="X33" s="59"/>
      <c r="Y33" s="59"/>
      <c r="Z33" s="59"/>
      <c r="AA33" s="59"/>
      <c r="AB33" s="59"/>
      <c r="AC33" s="42"/>
      <c r="AD33" s="59" t="str">
        <f>IF(TITLE_NUMBER_PR_CHANGE="",IF(TITLE_NUMBER_PR="","",TITLE_NUMBER_PR),TITLE_NUMBER_PR_CHANGE)</f>
        <v>108-73/тп-2024</v>
      </c>
      <c r="AE33" s="59"/>
      <c r="AF33" s="59"/>
      <c r="AG33" s="59"/>
      <c r="AH33" s="59"/>
      <c r="AI33" s="59"/>
      <c r="AJ33" s="59"/>
      <c r="AK33" s="59"/>
      <c r="AL33" s="59"/>
      <c r="AM33" s="59"/>
      <c r="AN33" s="59"/>
      <c r="AO33" s="59"/>
      <c r="AP33" s="59"/>
      <c r="AQ33" s="59"/>
      <c r="AR33" s="59"/>
      <c r="AS33" s="59"/>
      <c r="AT33" s="59"/>
      <c r="AU33" s="59"/>
      <c r="AV33" s="59"/>
      <c r="AW33" s="59"/>
      <c r="AX33" s="59"/>
      <c r="AY33" s="59"/>
      <c r="AZ33" s="59"/>
      <c r="BA33" s="42"/>
      <c r="BB33" s="42"/>
      <c r="BC33" s="121"/>
      <c r="BD33" s="150"/>
      <c r="BE33" s="150"/>
      <c r="BF33" s="150"/>
      <c r="BG33" s="150"/>
      <c r="BH33" s="150"/>
      <c r="BI33" s="35">
        <v>0</v>
      </c>
    </row>
    <row r="34" s="35" customFormat="1" ht="18.75" customHeight="1" spans="1:61">
      <c r="A34" s="44"/>
      <c r="B34" s="44"/>
      <c r="C34" s="44"/>
      <c r="D34" s="44"/>
      <c r="E34" s="44"/>
      <c r="F34" s="44"/>
      <c r="G34" s="44"/>
      <c r="H34" s="44"/>
      <c r="I34" s="44"/>
      <c r="J34" s="44"/>
      <c r="K34" s="44"/>
      <c r="L34" s="1040"/>
      <c r="M34" s="44"/>
      <c r="N34" s="44"/>
      <c r="O34" s="44"/>
      <c r="P34" s="44"/>
      <c r="Q34" s="44"/>
      <c r="S34" s="57" t="s">
        <v>44</v>
      </c>
      <c r="T34" s="57"/>
      <c r="U34" s="1074"/>
      <c r="V34" s="59" t="str">
        <f>IF(TITLE_IST_PUB_CHANGE="",IF(TITLE_IST_PUB="","",TITLE_IST_PUB),TITLE_IST_PUB_CHANGE)</f>
        <v>"Официальный портал правовой информации
Республики Татарстан"</v>
      </c>
      <c r="W34" s="59"/>
      <c r="X34" s="59"/>
      <c r="Y34" s="59"/>
      <c r="Z34" s="59"/>
      <c r="AA34" s="59"/>
      <c r="AB34" s="59"/>
      <c r="AC34" s="42"/>
      <c r="AD34" s="59" t="str">
        <f>IF(TITLE_IST_PUB_CHANGE="",IF(TITLE_IST_PUB="","",TITLE_IST_PUB),TITLE_IST_PUB_CHANGE)</f>
        <v>"Официальный портал правовой информации
Республики Татарстан"</v>
      </c>
      <c r="AE34" s="59"/>
      <c r="AF34" s="59"/>
      <c r="AG34" s="59"/>
      <c r="AH34" s="59"/>
      <c r="AI34" s="59"/>
      <c r="AJ34" s="59"/>
      <c r="AK34" s="59"/>
      <c r="AL34" s="59"/>
      <c r="AM34" s="59"/>
      <c r="AN34" s="59"/>
      <c r="AO34" s="59"/>
      <c r="AP34" s="59"/>
      <c r="AQ34" s="59"/>
      <c r="AR34" s="59"/>
      <c r="AS34" s="59"/>
      <c r="AT34" s="59"/>
      <c r="AU34" s="59"/>
      <c r="AV34" s="59"/>
      <c r="AW34" s="59"/>
      <c r="AX34" s="59"/>
      <c r="AY34" s="59"/>
      <c r="AZ34" s="59"/>
      <c r="BA34" s="42"/>
      <c r="BB34" s="42"/>
      <c r="BC34" s="121"/>
      <c r="BD34" s="150"/>
      <c r="BE34" s="150"/>
      <c r="BF34" s="150"/>
      <c r="BG34" s="150"/>
      <c r="BH34" s="150"/>
      <c r="BI34" s="35">
        <v>0</v>
      </c>
    </row>
    <row r="35" hidden="1" customHeight="1" spans="17:61">
      <c r="Q35" s="1073"/>
      <c r="R35" s="50"/>
      <c r="S35" s="51"/>
      <c r="T35" s="52"/>
      <c r="U35" s="52"/>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I35" s="42">
        <v>0</v>
      </c>
    </row>
    <row r="36" s="35" customFormat="1" ht="18.75" hidden="1" customHeight="1" spans="1:61">
      <c r="A36" s="44"/>
      <c r="B36" s="44"/>
      <c r="C36" s="44"/>
      <c r="D36" s="44"/>
      <c r="E36" s="44"/>
      <c r="F36" s="44"/>
      <c r="G36" s="44"/>
      <c r="H36" s="44"/>
      <c r="I36" s="44"/>
      <c r="J36" s="44"/>
      <c r="K36" s="44"/>
      <c r="L36" s="1040"/>
      <c r="M36" s="44"/>
      <c r="N36" s="44"/>
      <c r="O36" s="44"/>
      <c r="P36" s="44"/>
      <c r="Q36" s="44"/>
      <c r="S36" s="57" t="s">
        <v>426</v>
      </c>
      <c r="T36" s="57"/>
      <c r="U36" s="1074"/>
      <c r="V36" s="788">
        <f>IF(TITLE_DATE_PR_CHANGE="",IF(TITLE_DATE_PR="","",TITLE_DATE_PR),TITLE_DATE_PR_CHANGE)</f>
        <v>45525</v>
      </c>
      <c r="W36" s="788"/>
      <c r="X36" s="788"/>
      <c r="Y36" s="788"/>
      <c r="Z36" s="788"/>
      <c r="AA36" s="788"/>
      <c r="AB36" s="788"/>
      <c r="AC36" s="42"/>
      <c r="AD36" s="788">
        <f>IF(TITLE_DATE_PR_CHANGE="",IF(TITLE_DATE_PR="","",TITLE_DATE_PR),TITLE_DATE_PR_CHANGE)</f>
        <v>45525</v>
      </c>
      <c r="AE36" s="788"/>
      <c r="AF36" s="788"/>
      <c r="AG36" s="788"/>
      <c r="AH36" s="788"/>
      <c r="AI36" s="788"/>
      <c r="AJ36" s="788"/>
      <c r="AK36" s="788"/>
      <c r="AL36" s="788"/>
      <c r="AM36" s="788"/>
      <c r="AN36" s="788"/>
      <c r="AO36" s="788"/>
      <c r="AP36" s="788"/>
      <c r="AQ36" s="788"/>
      <c r="AR36" s="788"/>
      <c r="AS36" s="788"/>
      <c r="AT36" s="788"/>
      <c r="AU36" s="788"/>
      <c r="AV36" s="788"/>
      <c r="AW36" s="788"/>
      <c r="AX36" s="788"/>
      <c r="AY36" s="788"/>
      <c r="AZ36" s="788"/>
      <c r="BA36" s="42"/>
      <c r="BB36" s="42"/>
      <c r="BC36" s="121"/>
      <c r="BD36" s="150"/>
      <c r="BE36" s="150"/>
      <c r="BF36" s="150"/>
      <c r="BG36" s="150"/>
      <c r="BH36" s="150"/>
      <c r="BI36" s="35">
        <v>0</v>
      </c>
    </row>
    <row r="37" s="35" customFormat="1" ht="18.75" hidden="1" customHeight="1" spans="1:61">
      <c r="A37" s="44"/>
      <c r="B37" s="44"/>
      <c r="C37" s="44"/>
      <c r="D37" s="44"/>
      <c r="E37" s="44"/>
      <c r="F37" s="44"/>
      <c r="G37" s="44"/>
      <c r="H37" s="44"/>
      <c r="I37" s="44"/>
      <c r="J37" s="44"/>
      <c r="K37" s="44"/>
      <c r="L37" s="1040"/>
      <c r="M37" s="44"/>
      <c r="N37" s="44"/>
      <c r="O37" s="44"/>
      <c r="P37" s="44"/>
      <c r="Q37" s="44"/>
      <c r="S37" s="57" t="s">
        <v>427</v>
      </c>
      <c r="T37" s="57"/>
      <c r="U37" s="1074"/>
      <c r="V37" s="59" t="str">
        <f>IF(TITLE_NUMBER_PR_CHANGE="",IF(TITLE_NUMBER_PR="","",TITLE_NUMBER_PR),TITLE_NUMBER_PR_CHANGE)</f>
        <v>108-73/тп-2024</v>
      </c>
      <c r="W37" s="59"/>
      <c r="X37" s="59"/>
      <c r="Y37" s="59"/>
      <c r="Z37" s="59"/>
      <c r="AA37" s="59"/>
      <c r="AB37" s="59"/>
      <c r="AC37" s="42"/>
      <c r="AD37" s="59" t="str">
        <f>IF(TITLE_NUMBER_PR_CHANGE="",IF(TITLE_NUMBER_PR="","",TITLE_NUMBER_PR),TITLE_NUMBER_PR_CHANGE)</f>
        <v>108-73/тп-2024</v>
      </c>
      <c r="AE37" s="59"/>
      <c r="AF37" s="59"/>
      <c r="AG37" s="59"/>
      <c r="AH37" s="59"/>
      <c r="AI37" s="59"/>
      <c r="AJ37" s="59"/>
      <c r="AK37" s="59"/>
      <c r="AL37" s="59"/>
      <c r="AM37" s="59"/>
      <c r="AN37" s="59"/>
      <c r="AO37" s="59"/>
      <c r="AP37" s="59"/>
      <c r="AQ37" s="59"/>
      <c r="AR37" s="59"/>
      <c r="AS37" s="59"/>
      <c r="AT37" s="59"/>
      <c r="AU37" s="59"/>
      <c r="AV37" s="59"/>
      <c r="AW37" s="59"/>
      <c r="AX37" s="59"/>
      <c r="AY37" s="59"/>
      <c r="AZ37" s="59"/>
      <c r="BA37" s="42"/>
      <c r="BB37" s="42"/>
      <c r="BC37" s="121"/>
      <c r="BD37" s="150"/>
      <c r="BE37" s="150"/>
      <c r="BF37" s="150"/>
      <c r="BG37" s="150"/>
      <c r="BH37" s="150"/>
      <c r="BI37" s="35">
        <v>0</v>
      </c>
    </row>
    <row r="38" s="35" customFormat="1" hidden="1" customHeight="1" spans="1:61">
      <c r="A38" s="44"/>
      <c r="B38" s="44"/>
      <c r="C38" s="44"/>
      <c r="D38" s="44"/>
      <c r="E38" s="44"/>
      <c r="F38" s="44"/>
      <c r="G38" s="44"/>
      <c r="H38" s="44"/>
      <c r="I38" s="44"/>
      <c r="J38" s="44"/>
      <c r="K38" s="44"/>
      <c r="L38" s="1040"/>
      <c r="M38" s="44"/>
      <c r="N38" s="44"/>
      <c r="O38" s="44"/>
      <c r="P38" s="44"/>
      <c r="Q38" s="44"/>
      <c r="S38" s="42"/>
      <c r="T38" s="42"/>
      <c r="U38" s="60"/>
      <c r="V38" s="42"/>
      <c r="W38" s="42"/>
      <c r="X38" s="42"/>
      <c r="Y38" s="42"/>
      <c r="Z38" s="42"/>
      <c r="AA38" s="42"/>
      <c r="AB38" s="42"/>
      <c r="AC38" s="43" t="s">
        <v>430</v>
      </c>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3" t="s">
        <v>430</v>
      </c>
      <c r="BD38" s="150"/>
      <c r="BE38" s="150"/>
      <c r="BF38" s="150"/>
      <c r="BG38" s="150"/>
      <c r="BH38" s="150"/>
      <c r="BI38" s="35">
        <v>0</v>
      </c>
    </row>
    <row r="39" ht="14.7" customHeight="1" spans="17:61">
      <c r="Q39" s="1073"/>
      <c r="R39" s="50"/>
      <c r="S39" s="51"/>
      <c r="T39" s="52"/>
      <c r="U39" s="61"/>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I39" s="42">
        <v>14</v>
      </c>
    </row>
    <row r="40" ht="14.7" customHeight="1" spans="17:61">
      <c r="Q40" s="1073"/>
      <c r="R40" s="50"/>
      <c r="S40" s="63" t="s">
        <v>305</v>
      </c>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t="s">
        <v>306</v>
      </c>
      <c r="BI40" s="42">
        <v>14</v>
      </c>
    </row>
    <row r="41" ht="14.7" customHeight="1" spans="17:61">
      <c r="Q41" s="1073"/>
      <c r="R41" s="50"/>
      <c r="S41" s="64" t="s">
        <v>89</v>
      </c>
      <c r="T41" s="65" t="s">
        <v>509</v>
      </c>
      <c r="U41" s="66"/>
      <c r="V41" s="67" t="s">
        <v>432</v>
      </c>
      <c r="W41" s="68"/>
      <c r="X41" s="68"/>
      <c r="Y41" s="68"/>
      <c r="Z41" s="68"/>
      <c r="AA41" s="68"/>
      <c r="AB41" s="122"/>
      <c r="AC41" s="123" t="s">
        <v>433</v>
      </c>
      <c r="AD41" s="902" t="s">
        <v>510</v>
      </c>
      <c r="AE41" s="1085"/>
      <c r="AF41" s="1085"/>
      <c r="AG41" s="1097"/>
      <c r="AH41" s="902" t="s">
        <v>511</v>
      </c>
      <c r="AI41" s="1085"/>
      <c r="AJ41" s="1085"/>
      <c r="AK41" s="1097"/>
      <c r="AL41" s="902" t="s">
        <v>512</v>
      </c>
      <c r="AM41" s="1085"/>
      <c r="AN41" s="1085"/>
      <c r="AO41" s="1097"/>
      <c r="AP41" s="902" t="s">
        <v>513</v>
      </c>
      <c r="AQ41" s="1085"/>
      <c r="AR41" s="1085"/>
      <c r="AS41" s="1097"/>
      <c r="AT41" s="67" t="s">
        <v>432</v>
      </c>
      <c r="AU41" s="68"/>
      <c r="AV41" s="68"/>
      <c r="AW41" s="68"/>
      <c r="AX41" s="68"/>
      <c r="AY41" s="68"/>
      <c r="AZ41" s="122"/>
      <c r="BA41" s="123" t="s">
        <v>433</v>
      </c>
      <c r="BB41" s="124" t="s">
        <v>435</v>
      </c>
      <c r="BC41" s="63"/>
      <c r="BI41" s="42">
        <v>14</v>
      </c>
    </row>
    <row r="42" ht="35.7" customHeight="1" spans="17:61">
      <c r="Q42" s="1073"/>
      <c r="R42" s="50"/>
      <c r="S42" s="64"/>
      <c r="T42" s="65"/>
      <c r="U42" s="69"/>
      <c r="V42" s="892" t="s">
        <v>514</v>
      </c>
      <c r="W42" s="893"/>
      <c r="X42" s="892" t="s">
        <v>515</v>
      </c>
      <c r="Y42" s="893"/>
      <c r="Z42" s="892" t="s">
        <v>516</v>
      </c>
      <c r="AA42" s="1086"/>
      <c r="AB42" s="893"/>
      <c r="AC42" s="128"/>
      <c r="AD42" s="1087"/>
      <c r="AE42" s="1088"/>
      <c r="AF42" s="1088"/>
      <c r="AG42" s="1098"/>
      <c r="AH42" s="1087"/>
      <c r="AI42" s="1088"/>
      <c r="AJ42" s="1088"/>
      <c r="AK42" s="1098"/>
      <c r="AL42" s="1087"/>
      <c r="AM42" s="1088"/>
      <c r="AN42" s="1088"/>
      <c r="AO42" s="1098"/>
      <c r="AP42" s="1087"/>
      <c r="AQ42" s="1088"/>
      <c r="AR42" s="1088"/>
      <c r="AS42" s="1098"/>
      <c r="AT42" s="892" t="s">
        <v>514</v>
      </c>
      <c r="AU42" s="893"/>
      <c r="AV42" s="892" t="s">
        <v>515</v>
      </c>
      <c r="AW42" s="893"/>
      <c r="AX42" s="892" t="s">
        <v>516</v>
      </c>
      <c r="AY42" s="1086"/>
      <c r="AZ42" s="893"/>
      <c r="BA42" s="128"/>
      <c r="BB42" s="129"/>
      <c r="BC42" s="63"/>
      <c r="BI42" s="42">
        <v>34</v>
      </c>
    </row>
    <row r="43" ht="14.7" customHeight="1" spans="17:61">
      <c r="Q43" s="1073"/>
      <c r="R43" s="50"/>
      <c r="S43" s="64"/>
      <c r="T43" s="65"/>
      <c r="U43" s="69"/>
      <c r="V43" s="896"/>
      <c r="W43" s="897"/>
      <c r="X43" s="896"/>
      <c r="Y43" s="897"/>
      <c r="Z43" s="896"/>
      <c r="AA43" s="1089"/>
      <c r="AB43" s="897"/>
      <c r="AC43" s="128"/>
      <c r="AD43" s="1087"/>
      <c r="AE43" s="1088"/>
      <c r="AF43" s="1088"/>
      <c r="AG43" s="1098"/>
      <c r="AH43" s="1087"/>
      <c r="AI43" s="1088"/>
      <c r="AJ43" s="1088"/>
      <c r="AK43" s="1098"/>
      <c r="AL43" s="1087"/>
      <c r="AM43" s="1088"/>
      <c r="AN43" s="1088"/>
      <c r="AO43" s="1098"/>
      <c r="AP43" s="1087"/>
      <c r="AQ43" s="1088"/>
      <c r="AR43" s="1088"/>
      <c r="AS43" s="1098"/>
      <c r="AT43" s="896"/>
      <c r="AU43" s="897"/>
      <c r="AV43" s="896"/>
      <c r="AW43" s="897"/>
      <c r="AX43" s="896"/>
      <c r="AY43" s="1089"/>
      <c r="AZ43" s="897"/>
      <c r="BA43" s="128"/>
      <c r="BB43" s="129"/>
      <c r="BC43" s="63"/>
      <c r="BI43" s="42">
        <v>14</v>
      </c>
    </row>
    <row r="44" ht="14.7" customHeight="1" spans="1:61">
      <c r="A44" s="44"/>
      <c r="B44" s="44" t="s">
        <v>137</v>
      </c>
      <c r="C44" s="44" t="s">
        <v>138</v>
      </c>
      <c r="D44" s="44" t="s">
        <v>139</v>
      </c>
      <c r="E44" s="1040" t="s">
        <v>440</v>
      </c>
      <c r="F44" s="1040" t="s">
        <v>441</v>
      </c>
      <c r="G44" s="1040" t="s">
        <v>442</v>
      </c>
      <c r="H44" s="1040" t="s">
        <v>443</v>
      </c>
      <c r="I44" s="1040" t="s">
        <v>444</v>
      </c>
      <c r="J44" s="1040" t="s">
        <v>445</v>
      </c>
      <c r="K44" s="1040" t="s">
        <v>446</v>
      </c>
      <c r="L44" s="1040" t="s">
        <v>421</v>
      </c>
      <c r="Q44" s="1073"/>
      <c r="R44" s="50"/>
      <c r="S44" s="64"/>
      <c r="T44" s="65"/>
      <c r="U44" s="71"/>
      <c r="V44" s="65" t="s">
        <v>480</v>
      </c>
      <c r="W44" s="65" t="s">
        <v>481</v>
      </c>
      <c r="X44" s="65" t="s">
        <v>480</v>
      </c>
      <c r="Y44" s="65" t="s">
        <v>481</v>
      </c>
      <c r="Z44" s="130" t="s">
        <v>449</v>
      </c>
      <c r="AA44" s="131" t="s">
        <v>450</v>
      </c>
      <c r="AB44" s="132"/>
      <c r="AC44" s="133"/>
      <c r="AD44" s="1090"/>
      <c r="AE44" s="1091"/>
      <c r="AF44" s="1091"/>
      <c r="AG44" s="1099"/>
      <c r="AH44" s="1090"/>
      <c r="AI44" s="1091"/>
      <c r="AJ44" s="1091"/>
      <c r="AK44" s="1099"/>
      <c r="AL44" s="1090"/>
      <c r="AM44" s="1091"/>
      <c r="AN44" s="1091"/>
      <c r="AO44" s="1099"/>
      <c r="AP44" s="1090"/>
      <c r="AQ44" s="1091"/>
      <c r="AR44" s="1091"/>
      <c r="AS44" s="1099"/>
      <c r="AT44" s="65" t="s">
        <v>480</v>
      </c>
      <c r="AU44" s="65" t="s">
        <v>481</v>
      </c>
      <c r="AV44" s="65" t="s">
        <v>480</v>
      </c>
      <c r="AW44" s="65" t="s">
        <v>481</v>
      </c>
      <c r="AX44" s="130" t="s">
        <v>449</v>
      </c>
      <c r="AY44" s="131" t="s">
        <v>450</v>
      </c>
      <c r="AZ44" s="132"/>
      <c r="BA44" s="133"/>
      <c r="BB44" s="134"/>
      <c r="BC44" s="63"/>
      <c r="BI44" s="42">
        <v>14</v>
      </c>
    </row>
    <row r="45" s="36" customFormat="1" hidden="1" customHeight="1" spans="1:61">
      <c r="A45" s="44"/>
      <c r="B45" s="44"/>
      <c r="C45" s="44"/>
      <c r="D45" s="44"/>
      <c r="E45" s="44"/>
      <c r="F45" s="44"/>
      <c r="G45" s="44"/>
      <c r="H45" s="44"/>
      <c r="I45" s="44"/>
      <c r="J45" s="44"/>
      <c r="K45" s="44"/>
      <c r="L45" s="1040"/>
      <c r="M45" s="38"/>
      <c r="N45" s="38"/>
      <c r="O45" s="38"/>
      <c r="P45" s="1043"/>
      <c r="Q45" s="75"/>
      <c r="R45" s="75">
        <v>1</v>
      </c>
      <c r="S45" s="76" t="s">
        <v>111</v>
      </c>
      <c r="T45" s="77" t="s">
        <v>112</v>
      </c>
      <c r="U45" s="78" t="str">
        <f ca="1">OFFSET(U45,0,-1)</f>
        <v>2</v>
      </c>
      <c r="V45" s="79">
        <f ca="1" t="shared" ref="V45:AA45" si="2">OFFSET(V45,0,-1)+1</f>
        <v>3</v>
      </c>
      <c r="W45" s="79">
        <f ca="1" t="shared" si="2"/>
        <v>4</v>
      </c>
      <c r="X45" s="79">
        <f ca="1" t="shared" si="2"/>
        <v>5</v>
      </c>
      <c r="Y45" s="79">
        <f ca="1" t="shared" si="2"/>
        <v>6</v>
      </c>
      <c r="Z45" s="79">
        <f ca="1" t="shared" si="2"/>
        <v>7</v>
      </c>
      <c r="AA45" s="79">
        <f ca="1" t="shared" si="2"/>
        <v>8</v>
      </c>
      <c r="AB45" s="79"/>
      <c r="AC45" s="79">
        <f ca="1">OFFSET(AC45,0,-2)+1</f>
        <v>9</v>
      </c>
      <c r="AD45" s="79">
        <f ca="1">OFFSET(AD45,0,-1)+1</f>
        <v>10</v>
      </c>
      <c r="AE45" s="79"/>
      <c r="AF45" s="79"/>
      <c r="AG45" s="79"/>
      <c r="AH45" s="79"/>
      <c r="AI45" s="79"/>
      <c r="AJ45" s="79"/>
      <c r="AK45" s="79"/>
      <c r="AL45" s="79"/>
      <c r="AM45" s="79"/>
      <c r="AN45" s="79"/>
      <c r="AO45" s="79"/>
      <c r="AP45" s="79"/>
      <c r="AQ45" s="79"/>
      <c r="AR45" s="79"/>
      <c r="AS45" s="79"/>
      <c r="AT45" s="79"/>
      <c r="AU45" s="79"/>
      <c r="AV45" s="79"/>
      <c r="AW45" s="79">
        <f ca="1">OFFSET(AW45,0,-1)+1</f>
        <v>1</v>
      </c>
      <c r="AX45" s="79">
        <f ca="1">OFFSET(AX45,0,-1)+1</f>
        <v>2</v>
      </c>
      <c r="AY45" s="79">
        <f ca="1">OFFSET(AY45,0,-1)+1</f>
        <v>3</v>
      </c>
      <c r="AZ45" s="79"/>
      <c r="BA45" s="79">
        <f ca="1">OFFSET(BA45,0,-2)+1</f>
        <v>4</v>
      </c>
      <c r="BB45" s="78">
        <f ca="1">OFFSET(BB45,0,-1)</f>
        <v>4</v>
      </c>
      <c r="BC45" s="79">
        <f ca="1">OFFSET(BC45,0,-1)+1</f>
        <v>5</v>
      </c>
      <c r="BD45" s="43"/>
      <c r="BE45" s="43"/>
      <c r="BF45" s="43"/>
      <c r="BG45" s="43"/>
      <c r="BH45" s="43"/>
      <c r="BI45" s="36">
        <v>0</v>
      </c>
    </row>
    <row r="46" ht="22.05" customHeight="1" spans="1:61">
      <c r="A46" s="45" t="s">
        <v>266</v>
      </c>
      <c r="B46" s="45"/>
      <c r="C46" s="45"/>
      <c r="D46" s="45"/>
      <c r="E46" s="1038">
        <v>1</v>
      </c>
      <c r="F46" s="45"/>
      <c r="G46" s="45"/>
      <c r="H46" s="45"/>
      <c r="I46" s="45"/>
      <c r="J46" s="45"/>
      <c r="K46" s="45"/>
      <c r="L46" s="1040"/>
      <c r="M46" s="46"/>
      <c r="N46" s="46"/>
      <c r="O46" s="46"/>
      <c r="Q46" s="263"/>
      <c r="R46" s="81"/>
      <c r="S46" s="64">
        <f>INDEX(PT_DIFFERENTIATION_NUM_NTAR,MATCH(A46,PT_DIFFERENTIATION_NTAR_ID,0))</f>
        <v>0</v>
      </c>
      <c r="T46" s="82" t="s">
        <v>125</v>
      </c>
      <c r="U46" s="83"/>
      <c r="V46" s="1047"/>
      <c r="W46" s="1047"/>
      <c r="X46" s="1047"/>
      <c r="Y46" s="1047"/>
      <c r="Z46" s="1047"/>
      <c r="AA46" s="1047"/>
      <c r="AB46" s="1047"/>
      <c r="AC46" s="1075"/>
      <c r="AD46" s="1076" t="str">
        <f>INDEX(PT_DIFFERENTIATION_NTAR,MATCH(A46,PT_DIFFERENTIATION_NTAR_ID,0))</f>
        <v/>
      </c>
      <c r="AE46" s="1047"/>
      <c r="AF46" s="1047"/>
      <c r="AG46" s="1047"/>
      <c r="AH46" s="1047"/>
      <c r="AI46" s="1047"/>
      <c r="AJ46" s="1047"/>
      <c r="AK46" s="1047"/>
      <c r="AL46" s="1047"/>
      <c r="AM46" s="1047"/>
      <c r="AN46" s="1047"/>
      <c r="AO46" s="1047"/>
      <c r="AP46" s="1047"/>
      <c r="AQ46" s="1047"/>
      <c r="AR46" s="1047"/>
      <c r="AS46" s="1047"/>
      <c r="AT46" s="1047"/>
      <c r="AU46" s="1047"/>
      <c r="AV46" s="1047"/>
      <c r="AW46" s="1047"/>
      <c r="AX46" s="1047"/>
      <c r="AY46" s="1047"/>
      <c r="AZ46" s="1047"/>
      <c r="BA46" s="1047"/>
      <c r="BB46" s="1075"/>
      <c r="BC46" s="13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150"/>
      <c r="BF46" s="150" t="str">
        <f t="shared" ref="BF46:BF52" si="3">IF(T46="","",T46)</f>
        <v>Наименование тарифа</v>
      </c>
      <c r="BG46" s="150"/>
      <c r="BH46" s="150"/>
      <c r="BI46" s="42">
        <v>21</v>
      </c>
    </row>
    <row r="47" ht="22.05" customHeight="1" spans="1:61">
      <c r="A47" s="45" t="s">
        <v>266</v>
      </c>
      <c r="B47" s="45" t="s">
        <v>267</v>
      </c>
      <c r="C47" s="45"/>
      <c r="D47" s="45"/>
      <c r="E47" s="1039"/>
      <c r="F47" s="1038">
        <v>1</v>
      </c>
      <c r="G47" s="45"/>
      <c r="H47" s="45"/>
      <c r="I47" s="45"/>
      <c r="J47" s="45"/>
      <c r="K47" s="45"/>
      <c r="L47" s="1040"/>
      <c r="M47" s="46"/>
      <c r="N47" s="46"/>
      <c r="O47" s="46"/>
      <c r="P47" s="47"/>
      <c r="Q47" s="1048"/>
      <c r="R47" s="87"/>
      <c r="S47" s="64" t="str">
        <f>INDEX(PT_DIFFERENTIATION_NUM_TER,MATCH(B47,PT_DIFFERENTIATION_TER_ID,0))</f>
        <v>.</v>
      </c>
      <c r="T47" s="88" t="s">
        <v>402</v>
      </c>
      <c r="U47" s="83"/>
      <c r="V47" s="1047"/>
      <c r="W47" s="1047"/>
      <c r="X47" s="1047"/>
      <c r="Y47" s="1047"/>
      <c r="Z47" s="1047"/>
      <c r="AA47" s="1047"/>
      <c r="AB47" s="1047"/>
      <c r="AC47" s="1075"/>
      <c r="AD47" s="1076" t="str">
        <f>INDEX(PT_DIFFERENTIATION_TER,MATCH(B47,PT_DIFFERENTIATION_TER_ID,0))</f>
        <v/>
      </c>
      <c r="AE47" s="1047"/>
      <c r="AF47" s="1047"/>
      <c r="AG47" s="1047"/>
      <c r="AH47" s="1047"/>
      <c r="AI47" s="1047"/>
      <c r="AJ47" s="1047"/>
      <c r="AK47" s="1047"/>
      <c r="AL47" s="1047"/>
      <c r="AM47" s="1047"/>
      <c r="AN47" s="1047"/>
      <c r="AO47" s="1047"/>
      <c r="AP47" s="1047"/>
      <c r="AQ47" s="1047"/>
      <c r="AR47" s="1047"/>
      <c r="AS47" s="1047"/>
      <c r="AT47" s="1047"/>
      <c r="AU47" s="1047"/>
      <c r="AV47" s="1047"/>
      <c r="AW47" s="1047"/>
      <c r="AX47" s="1047"/>
      <c r="AY47" s="1047"/>
      <c r="AZ47" s="1047"/>
      <c r="BA47" s="1047"/>
      <c r="BB47" s="1075"/>
      <c r="BC47" s="135" t="s">
        <v>403</v>
      </c>
      <c r="BE47" s="150"/>
      <c r="BF47" s="150" t="str">
        <f t="shared" si="3"/>
        <v>Территория действия тарифа</v>
      </c>
      <c r="BG47" s="150"/>
      <c r="BH47" s="150"/>
      <c r="BI47" s="42">
        <v>21</v>
      </c>
    </row>
    <row r="48" ht="35.7" customHeight="1" spans="1:61">
      <c r="A48" s="45" t="s">
        <v>266</v>
      </c>
      <c r="B48" s="45" t="s">
        <v>267</v>
      </c>
      <c r="C48" s="45" t="s">
        <v>268</v>
      </c>
      <c r="D48" s="45"/>
      <c r="E48" s="1039"/>
      <c r="F48" s="1039"/>
      <c r="G48" s="1038">
        <v>1</v>
      </c>
      <c r="H48" s="45"/>
      <c r="I48" s="45"/>
      <c r="J48" s="45"/>
      <c r="K48" s="45"/>
      <c r="L48" s="1040"/>
      <c r="M48" s="46"/>
      <c r="N48" s="46"/>
      <c r="O48" s="46"/>
      <c r="P48" s="1041"/>
      <c r="Q48" s="1048"/>
      <c r="R48" s="87"/>
      <c r="S48" s="64" t="str">
        <f>INDEX(PT_DIFFERENTIATION_NUM_CS,MATCH(C48,PT_DIFFERENTIATION_CS_ID,0))</f>
        <v>..</v>
      </c>
      <c r="T48" s="90" t="s">
        <v>540</v>
      </c>
      <c r="U48" s="83"/>
      <c r="V48" s="1047"/>
      <c r="W48" s="1047"/>
      <c r="X48" s="1047"/>
      <c r="Y48" s="1047"/>
      <c r="Z48" s="1047"/>
      <c r="AA48" s="1047"/>
      <c r="AB48" s="1047"/>
      <c r="AC48" s="1075"/>
      <c r="AD48" s="1076" t="str">
        <f>INDEX(PT_DIFFERENTIATION_CS,MATCH(C48,PT_DIFFERENTIATION_CS_ID,0))</f>
        <v/>
      </c>
      <c r="AE48" s="1047"/>
      <c r="AF48" s="1047"/>
      <c r="AG48" s="1047"/>
      <c r="AH48" s="1047"/>
      <c r="AI48" s="1047"/>
      <c r="AJ48" s="1047"/>
      <c r="AK48" s="1047"/>
      <c r="AL48" s="1047"/>
      <c r="AM48" s="1047"/>
      <c r="AN48" s="1047"/>
      <c r="AO48" s="1047"/>
      <c r="AP48" s="1047"/>
      <c r="AQ48" s="1047"/>
      <c r="AR48" s="1047"/>
      <c r="AS48" s="1047"/>
      <c r="AT48" s="1047"/>
      <c r="AU48" s="1047"/>
      <c r="AV48" s="1047"/>
      <c r="AW48" s="1047"/>
      <c r="AX48" s="1047"/>
      <c r="AY48" s="1047"/>
      <c r="AZ48" s="1047"/>
      <c r="BA48" s="1047"/>
      <c r="BB48" s="1075"/>
      <c r="BC48" s="135" t="s">
        <v>541</v>
      </c>
      <c r="BE48" s="150"/>
      <c r="BF48" s="150" t="str">
        <f t="shared" si="3"/>
        <v>Наименование централизованной системы горячего водоснабжения</v>
      </c>
      <c r="BG48" s="150"/>
      <c r="BH48" s="150"/>
      <c r="BI48" s="42">
        <v>34</v>
      </c>
    </row>
    <row r="49" s="43" customFormat="1" hidden="1" customHeight="1" spans="1:61">
      <c r="A49" s="587" t="s">
        <v>266</v>
      </c>
      <c r="B49" s="587" t="s">
        <v>267</v>
      </c>
      <c r="C49" s="587" t="s">
        <v>268</v>
      </c>
      <c r="D49" s="587" t="s">
        <v>554</v>
      </c>
      <c r="E49" s="1039"/>
      <c r="F49" s="1039"/>
      <c r="G49" s="1039"/>
      <c r="H49" s="1038">
        <v>1</v>
      </c>
      <c r="I49" s="587"/>
      <c r="J49" s="587"/>
      <c r="K49" s="587"/>
      <c r="L49" s="608"/>
      <c r="M49" s="282"/>
      <c r="N49" s="282"/>
      <c r="O49" s="282"/>
      <c r="P49" s="1042"/>
      <c r="Q49" s="1049"/>
      <c r="R49" s="96"/>
      <c r="S49" s="329"/>
      <c r="T49" s="1050"/>
      <c r="U49" s="1051"/>
      <c r="V49" s="1052"/>
      <c r="W49" s="1052"/>
      <c r="X49" s="1052"/>
      <c r="Y49" s="1052"/>
      <c r="Z49" s="1052"/>
      <c r="AA49" s="1052"/>
      <c r="AB49" s="1052"/>
      <c r="AC49" s="1077"/>
      <c r="AD49" s="1078"/>
      <c r="AE49" s="1052"/>
      <c r="AF49" s="1052"/>
      <c r="AG49" s="1052"/>
      <c r="AH49" s="1052"/>
      <c r="AI49" s="1052"/>
      <c r="AJ49" s="1052"/>
      <c r="AK49" s="1052"/>
      <c r="AL49" s="1052"/>
      <c r="AM49" s="1052"/>
      <c r="AN49" s="1052"/>
      <c r="AO49" s="1052"/>
      <c r="AP49" s="1052"/>
      <c r="AQ49" s="1052"/>
      <c r="AR49" s="1052"/>
      <c r="AS49" s="1052"/>
      <c r="AT49" s="1052"/>
      <c r="AU49" s="1052"/>
      <c r="AV49" s="1052"/>
      <c r="AW49" s="1052"/>
      <c r="AX49" s="1052"/>
      <c r="AY49" s="1052"/>
      <c r="AZ49" s="1052"/>
      <c r="BA49" s="1052"/>
      <c r="BB49" s="1077"/>
      <c r="BC49" s="981" t="s">
        <v>407</v>
      </c>
      <c r="BE49" s="150"/>
      <c r="BF49" s="150" t="str">
        <f t="shared" si="3"/>
        <v/>
      </c>
      <c r="BG49" s="150"/>
      <c r="BH49" s="150"/>
      <c r="BI49" s="43">
        <v>0</v>
      </c>
    </row>
    <row r="50" s="43" customFormat="1" hidden="1" customHeight="1" spans="1:61">
      <c r="A50" s="587" t="s">
        <v>266</v>
      </c>
      <c r="B50" s="587" t="s">
        <v>267</v>
      </c>
      <c r="C50" s="587" t="s">
        <v>268</v>
      </c>
      <c r="D50" s="587" t="s">
        <v>554</v>
      </c>
      <c r="E50" s="1039"/>
      <c r="F50" s="1039"/>
      <c r="G50" s="1039"/>
      <c r="H50" s="1039"/>
      <c r="I50" s="228" t="str">
        <f>S49&amp;".1"</f>
        <v>.1</v>
      </c>
      <c r="J50" s="587"/>
      <c r="K50" s="587"/>
      <c r="L50" s="608" t="s">
        <v>408</v>
      </c>
      <c r="M50" s="1043"/>
      <c r="N50" s="1043"/>
      <c r="O50" s="1043"/>
      <c r="P50" s="92">
        <v>1</v>
      </c>
      <c r="Q50" s="92"/>
      <c r="R50" s="93"/>
      <c r="S50" s="329"/>
      <c r="T50" s="1053"/>
      <c r="U50" s="1051"/>
      <c r="V50" s="1052"/>
      <c r="W50" s="1052"/>
      <c r="X50" s="1052"/>
      <c r="Y50" s="1052"/>
      <c r="Z50" s="1052"/>
      <c r="AA50" s="1052"/>
      <c r="AB50" s="1052"/>
      <c r="AC50" s="1077"/>
      <c r="AD50" s="1078"/>
      <c r="AE50" s="1052"/>
      <c r="AF50" s="1052"/>
      <c r="AG50" s="1052"/>
      <c r="AH50" s="1052"/>
      <c r="AI50" s="1052"/>
      <c r="AJ50" s="1052"/>
      <c r="AK50" s="1052"/>
      <c r="AL50" s="1052"/>
      <c r="AM50" s="1052"/>
      <c r="AN50" s="1052"/>
      <c r="AO50" s="1052"/>
      <c r="AP50" s="1052"/>
      <c r="AQ50" s="1052"/>
      <c r="AR50" s="1052"/>
      <c r="AS50" s="1052"/>
      <c r="AT50" s="1052"/>
      <c r="AU50" s="1052"/>
      <c r="AV50" s="1052"/>
      <c r="AW50" s="1052"/>
      <c r="AX50" s="1052"/>
      <c r="AY50" s="1052"/>
      <c r="AZ50" s="1052"/>
      <c r="BA50" s="1052"/>
      <c r="BB50" s="1077"/>
      <c r="BC50" s="981"/>
      <c r="BE50" s="150"/>
      <c r="BF50" s="150" t="str">
        <f t="shared" si="3"/>
        <v/>
      </c>
      <c r="BG50" s="150"/>
      <c r="BH50" s="150"/>
      <c r="BI50" s="43">
        <v>0</v>
      </c>
    </row>
    <row r="51" s="43" customFormat="1" hidden="1" customHeight="1" spans="1:61">
      <c r="A51" s="587" t="s">
        <v>266</v>
      </c>
      <c r="B51" s="587" t="s">
        <v>267</v>
      </c>
      <c r="C51" s="587" t="s">
        <v>268</v>
      </c>
      <c r="D51" s="587" t="s">
        <v>554</v>
      </c>
      <c r="E51" s="1039"/>
      <c r="F51" s="1039"/>
      <c r="G51" s="1039"/>
      <c r="H51" s="1039"/>
      <c r="I51" s="1044"/>
      <c r="J51" s="228" t="str">
        <f>S49&amp;".1"</f>
        <v>.1</v>
      </c>
      <c r="K51" s="587"/>
      <c r="L51" s="608"/>
      <c r="M51" s="1043"/>
      <c r="N51" s="1043"/>
      <c r="O51" s="1043"/>
      <c r="P51" s="92"/>
      <c r="Q51" s="92">
        <v>1</v>
      </c>
      <c r="R51" s="96"/>
      <c r="S51" s="329"/>
      <c r="T51" s="1054"/>
      <c r="U51" s="1051"/>
      <c r="V51" s="1052"/>
      <c r="W51" s="1052"/>
      <c r="X51" s="1052"/>
      <c r="Y51" s="1052"/>
      <c r="Z51" s="1052"/>
      <c r="AA51" s="1052"/>
      <c r="AB51" s="1052"/>
      <c r="AC51" s="1077"/>
      <c r="AD51" s="1078"/>
      <c r="AE51" s="1052"/>
      <c r="AF51" s="1052"/>
      <c r="AG51" s="1052"/>
      <c r="AH51" s="1052"/>
      <c r="AI51" s="1052"/>
      <c r="AJ51" s="1052"/>
      <c r="AK51" s="1052"/>
      <c r="AL51" s="1052"/>
      <c r="AM51" s="1052"/>
      <c r="AN51" s="1100"/>
      <c r="AO51" s="1100"/>
      <c r="AP51" s="1052"/>
      <c r="AQ51" s="1052"/>
      <c r="AR51" s="1052"/>
      <c r="AS51" s="1052"/>
      <c r="AT51" s="1052"/>
      <c r="AU51" s="1052"/>
      <c r="AV51" s="1052"/>
      <c r="AW51" s="1052"/>
      <c r="AX51" s="1052"/>
      <c r="AY51" s="1052"/>
      <c r="AZ51" s="1052"/>
      <c r="BA51" s="1052"/>
      <c r="BB51" s="1077"/>
      <c r="BC51" s="981"/>
      <c r="BE51" s="150"/>
      <c r="BF51" s="150" t="str">
        <f t="shared" si="3"/>
        <v/>
      </c>
      <c r="BG51" s="150"/>
      <c r="BH51" s="150"/>
      <c r="BI51" s="43">
        <v>0</v>
      </c>
    </row>
    <row r="52" ht="11.55" customHeight="1" spans="1:61">
      <c r="A52" s="45" t="s">
        <v>266</v>
      </c>
      <c r="B52" s="45" t="s">
        <v>267</v>
      </c>
      <c r="C52" s="45" t="s">
        <v>268</v>
      </c>
      <c r="D52" s="45" t="s">
        <v>554</v>
      </c>
      <c r="E52" s="1039"/>
      <c r="F52" s="1039"/>
      <c r="G52" s="1039"/>
      <c r="H52" s="1039"/>
      <c r="I52" s="1044"/>
      <c r="J52" s="1044"/>
      <c r="K52" s="228" t="str">
        <f>S48&amp;".1"</f>
        <v>...1</v>
      </c>
      <c r="L52" s="1040"/>
      <c r="P52" s="92"/>
      <c r="Q52" s="92"/>
      <c r="R52" s="96">
        <v>1</v>
      </c>
      <c r="S52" s="1056" t="str">
        <f>$K52</f>
        <v>...1</v>
      </c>
      <c r="T52" s="1057"/>
      <c r="U52" s="83"/>
      <c r="V52" s="101"/>
      <c r="W52" s="137"/>
      <c r="X52" s="101"/>
      <c r="Y52" s="137"/>
      <c r="Z52" s="138"/>
      <c r="AA52" s="139" t="s">
        <v>62</v>
      </c>
      <c r="AB52" s="138"/>
      <c r="AC52" s="139" t="s">
        <v>62</v>
      </c>
      <c r="AD52" s="472" t="s">
        <v>62</v>
      </c>
      <c r="AE52" s="1079"/>
      <c r="AF52" s="661">
        <v>1</v>
      </c>
      <c r="AG52" s="1092"/>
      <c r="AH52" s="139" t="s">
        <v>62</v>
      </c>
      <c r="AI52" s="1079"/>
      <c r="AJ52" s="661">
        <v>1</v>
      </c>
      <c r="AK52" s="1093" t="s">
        <v>28</v>
      </c>
      <c r="AL52" s="139" t="s">
        <v>62</v>
      </c>
      <c r="AM52" s="892"/>
      <c r="AN52" s="661">
        <v>1</v>
      </c>
      <c r="AO52" s="1101"/>
      <c r="AP52" s="1102" t="s">
        <v>62</v>
      </c>
      <c r="AQ52" s="1103"/>
      <c r="AR52" s="661">
        <v>1</v>
      </c>
      <c r="AS52" s="446" t="s">
        <v>28</v>
      </c>
      <c r="AT52" s="101"/>
      <c r="AU52" s="137"/>
      <c r="AV52" s="101"/>
      <c r="AW52" s="137"/>
      <c r="AX52" s="138"/>
      <c r="AY52" s="139" t="s">
        <v>62</v>
      </c>
      <c r="AZ52" s="138"/>
      <c r="BA52" s="139" t="s">
        <v>62</v>
      </c>
      <c r="BB52" s="1106"/>
      <c r="BC52" s="140" t="s">
        <v>503</v>
      </c>
      <c r="BE52" s="150"/>
      <c r="BF52" s="150" t="str">
        <f t="shared" si="3"/>
        <v/>
      </c>
      <c r="BG52" s="150"/>
      <c r="BH52" s="150"/>
      <c r="BI52" s="42">
        <v>11</v>
      </c>
    </row>
    <row r="53" ht="11.55" customHeight="1" spans="1:61">
      <c r="A53" s="45"/>
      <c r="B53" s="45"/>
      <c r="C53" s="45"/>
      <c r="D53" s="45"/>
      <c r="E53" s="1039"/>
      <c r="F53" s="1039"/>
      <c r="G53" s="1039"/>
      <c r="H53" s="1039"/>
      <c r="I53" s="1044"/>
      <c r="J53" s="1044"/>
      <c r="K53" s="228"/>
      <c r="L53" s="1040"/>
      <c r="P53" s="92"/>
      <c r="Q53" s="92"/>
      <c r="R53" s="96"/>
      <c r="S53" s="1058"/>
      <c r="T53" s="1059"/>
      <c r="U53" s="83"/>
      <c r="V53" s="1060"/>
      <c r="W53" s="1061"/>
      <c r="X53" s="1060"/>
      <c r="Y53" s="1061"/>
      <c r="Z53" s="1060"/>
      <c r="AA53" s="1060"/>
      <c r="AB53" s="1060"/>
      <c r="AC53" s="1060"/>
      <c r="AD53" s="474"/>
      <c r="AE53" s="1079"/>
      <c r="AF53" s="661"/>
      <c r="AG53" s="1092"/>
      <c r="AH53" s="139"/>
      <c r="AI53" s="1079"/>
      <c r="AJ53" s="661"/>
      <c r="AK53" s="1093"/>
      <c r="AL53" s="139"/>
      <c r="AM53" s="896"/>
      <c r="AN53" s="661"/>
      <c r="AO53" s="1101"/>
      <c r="AP53" s="1104"/>
      <c r="AQ53" s="330"/>
      <c r="AR53" s="331"/>
      <c r="AS53" s="331" t="s">
        <v>504</v>
      </c>
      <c r="AT53" s="1060"/>
      <c r="AU53" s="1061"/>
      <c r="AV53" s="1060"/>
      <c r="AW53" s="1061"/>
      <c r="AX53" s="1060"/>
      <c r="AY53" s="1060"/>
      <c r="AZ53" s="1060"/>
      <c r="BA53" s="1060"/>
      <c r="BB53" s="1107"/>
      <c r="BC53" s="143"/>
      <c r="BE53" s="150"/>
      <c r="BF53" s="150"/>
      <c r="BG53" s="150"/>
      <c r="BH53" s="150"/>
      <c r="BI53" s="42">
        <v>11</v>
      </c>
    </row>
    <row r="54" ht="11.55" customHeight="1" spans="1:61">
      <c r="A54" s="45" t="s">
        <v>266</v>
      </c>
      <c r="B54" s="45"/>
      <c r="C54" s="45"/>
      <c r="D54" s="45"/>
      <c r="E54" s="1039"/>
      <c r="F54" s="1039"/>
      <c r="G54" s="1039"/>
      <c r="H54" s="1039"/>
      <c r="I54" s="1044"/>
      <c r="J54" s="1044"/>
      <c r="K54" s="228"/>
      <c r="L54" s="1040"/>
      <c r="P54" s="92"/>
      <c r="Q54" s="92"/>
      <c r="R54" s="96"/>
      <c r="S54" s="1058"/>
      <c r="T54" s="1059"/>
      <c r="U54" s="83"/>
      <c r="V54" s="1060"/>
      <c r="W54" s="1061"/>
      <c r="X54" s="1060"/>
      <c r="Y54" s="1061"/>
      <c r="Z54" s="1060"/>
      <c r="AA54" s="1060"/>
      <c r="AB54" s="1060"/>
      <c r="AC54" s="1060"/>
      <c r="AD54" s="474"/>
      <c r="AE54" s="1079"/>
      <c r="AF54" s="661"/>
      <c r="AG54" s="1092"/>
      <c r="AH54" s="139"/>
      <c r="AI54" s="1079"/>
      <c r="AJ54" s="661"/>
      <c r="AK54" s="1093"/>
      <c r="AL54" s="139"/>
      <c r="AM54" s="330"/>
      <c r="AN54" s="598"/>
      <c r="AO54" s="598" t="s">
        <v>505</v>
      </c>
      <c r="AP54" s="331"/>
      <c r="AQ54" s="331"/>
      <c r="AR54" s="331"/>
      <c r="AS54" s="1060"/>
      <c r="AT54" s="1060"/>
      <c r="AU54" s="1061"/>
      <c r="AV54" s="1060"/>
      <c r="AW54" s="1061"/>
      <c r="AX54" s="1060"/>
      <c r="AY54" s="1060"/>
      <c r="AZ54" s="1060"/>
      <c r="BA54" s="1060"/>
      <c r="BB54" s="1107"/>
      <c r="BC54" s="143"/>
      <c r="BE54" s="150"/>
      <c r="BF54" s="150"/>
      <c r="BG54" s="150"/>
      <c r="BH54" s="150"/>
      <c r="BI54" s="42">
        <v>11</v>
      </c>
    </row>
    <row r="55" ht="11.55" customHeight="1" spans="1:61">
      <c r="A55" s="45" t="s">
        <v>266</v>
      </c>
      <c r="B55" s="45"/>
      <c r="C55" s="45"/>
      <c r="D55" s="45"/>
      <c r="E55" s="1039"/>
      <c r="F55" s="1039"/>
      <c r="G55" s="1039"/>
      <c r="H55" s="1039"/>
      <c r="I55" s="1044"/>
      <c r="J55" s="1044"/>
      <c r="K55" s="228"/>
      <c r="L55" s="1040"/>
      <c r="P55" s="92"/>
      <c r="Q55" s="92"/>
      <c r="R55" s="96"/>
      <c r="S55" s="1058"/>
      <c r="T55" s="1059"/>
      <c r="U55" s="83"/>
      <c r="V55" s="1060"/>
      <c r="W55" s="1061"/>
      <c r="X55" s="1060"/>
      <c r="Y55" s="1061"/>
      <c r="Z55" s="1060"/>
      <c r="AA55" s="1060"/>
      <c r="AB55" s="1060"/>
      <c r="AC55" s="1060"/>
      <c r="AD55" s="474"/>
      <c r="AE55" s="1079"/>
      <c r="AF55" s="661"/>
      <c r="AG55" s="1092"/>
      <c r="AH55" s="139"/>
      <c r="AI55" s="900"/>
      <c r="AJ55" s="226"/>
      <c r="AK55" s="1094" t="s">
        <v>506</v>
      </c>
      <c r="AL55" s="1060"/>
      <c r="AM55" s="1060"/>
      <c r="AN55" s="1060"/>
      <c r="AO55" s="1060"/>
      <c r="AP55" s="1060"/>
      <c r="AQ55" s="1060"/>
      <c r="AR55" s="1060"/>
      <c r="AS55" s="1060"/>
      <c r="AT55" s="1060"/>
      <c r="AU55" s="1061"/>
      <c r="AV55" s="1060"/>
      <c r="AW55" s="1061"/>
      <c r="AX55" s="1060"/>
      <c r="AY55" s="1060"/>
      <c r="AZ55" s="1060"/>
      <c r="BA55" s="1060"/>
      <c r="BB55" s="1107"/>
      <c r="BC55" s="143"/>
      <c r="BE55" s="150"/>
      <c r="BF55" s="150"/>
      <c r="BG55" s="150"/>
      <c r="BH55" s="150"/>
      <c r="BI55" s="42">
        <v>11</v>
      </c>
    </row>
    <row r="56" ht="11.55" customHeight="1" spans="1:61">
      <c r="A56" s="45" t="s">
        <v>266</v>
      </c>
      <c r="B56" s="45" t="s">
        <v>267</v>
      </c>
      <c r="C56" s="45" t="s">
        <v>268</v>
      </c>
      <c r="D56" s="45" t="s">
        <v>554</v>
      </c>
      <c r="E56" s="1039"/>
      <c r="F56" s="1039"/>
      <c r="G56" s="1039"/>
      <c r="H56" s="1039"/>
      <c r="I56" s="1044"/>
      <c r="J56" s="1044"/>
      <c r="K56" s="228"/>
      <c r="L56" s="1040"/>
      <c r="P56" s="92"/>
      <c r="Q56" s="92"/>
      <c r="R56" s="96"/>
      <c r="S56" s="1062"/>
      <c r="T56" s="1063"/>
      <c r="U56" s="83"/>
      <c r="V56" s="1060"/>
      <c r="W56" s="1064" t="str">
        <f>Z52&amp;"-"&amp;AB52</f>
        <v>-</v>
      </c>
      <c r="X56" s="1060"/>
      <c r="Y56" s="1064" t="str">
        <f>AB52&amp;"-"&amp;AD52</f>
        <v>-да</v>
      </c>
      <c r="Z56" s="1060"/>
      <c r="AA56" s="1060"/>
      <c r="AB56" s="1060"/>
      <c r="AC56" s="1060"/>
      <c r="AD56" s="477"/>
      <c r="AE56" s="1080"/>
      <c r="AF56" s="1081"/>
      <c r="AG56" s="331" t="s">
        <v>507</v>
      </c>
      <c r="AH56" s="1060"/>
      <c r="AI56" s="1060"/>
      <c r="AJ56" s="1060"/>
      <c r="AK56" s="1060"/>
      <c r="AL56" s="1060"/>
      <c r="AM56" s="1060"/>
      <c r="AN56" s="1060"/>
      <c r="AO56" s="1060"/>
      <c r="AP56" s="1060"/>
      <c r="AQ56" s="1060"/>
      <c r="AR56" s="1060"/>
      <c r="AS56" s="1060"/>
      <c r="AT56" s="1060"/>
      <c r="AU56" s="1064" t="str">
        <f>AX52&amp;"-"&amp;AZ52</f>
        <v>-</v>
      </c>
      <c r="AV56" s="1060"/>
      <c r="AW56" s="1064" t="str">
        <f>AZ52&amp;"-"&amp;BB52</f>
        <v>-</v>
      </c>
      <c r="AX56" s="1060"/>
      <c r="AY56" s="1060"/>
      <c r="AZ56" s="1060"/>
      <c r="BA56" s="1060"/>
      <c r="BB56" s="1108" t="str">
        <f>BE52&amp;"-"&amp;BG52</f>
        <v>-</v>
      </c>
      <c r="BC56" s="143"/>
      <c r="BE56" s="150"/>
      <c r="BF56" s="150" t="str">
        <f t="shared" ref="BF56:BF63" si="4">IF(T56="","",T56)</f>
        <v/>
      </c>
      <c r="BG56" s="150"/>
      <c r="BH56" s="150"/>
      <c r="BI56" s="42">
        <v>11</v>
      </c>
    </row>
    <row r="57" ht="11.55" customHeight="1" spans="1:61">
      <c r="A57" s="45" t="s">
        <v>266</v>
      </c>
      <c r="B57" s="45" t="s">
        <v>267</v>
      </c>
      <c r="C57" s="45" t="s">
        <v>268</v>
      </c>
      <c r="D57" s="45" t="s">
        <v>554</v>
      </c>
      <c r="E57" s="1039"/>
      <c r="F57" s="1039"/>
      <c r="G57" s="1039"/>
      <c r="H57" s="1039"/>
      <c r="I57" s="1044"/>
      <c r="J57" s="228"/>
      <c r="K57" s="45"/>
      <c r="L57" s="1040"/>
      <c r="P57" s="92"/>
      <c r="Q57" s="92"/>
      <c r="R57" s="93"/>
      <c r="S57" s="104"/>
      <c r="T57" s="107" t="s">
        <v>470</v>
      </c>
      <c r="U57" s="106"/>
      <c r="V57" s="106"/>
      <c r="W57" s="106"/>
      <c r="X57" s="106"/>
      <c r="Y57" s="106"/>
      <c r="Z57" s="106"/>
      <c r="AA57" s="106"/>
      <c r="AB57" s="106"/>
      <c r="AC57" s="144"/>
      <c r="AD57" s="1082"/>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44"/>
      <c r="BC57" s="145"/>
      <c r="BE57" s="150"/>
      <c r="BF57" s="150" t="str">
        <f t="shared" si="4"/>
        <v>Добавить строку</v>
      </c>
      <c r="BG57" s="150"/>
      <c r="BH57" s="150"/>
      <c r="BI57" s="42">
        <v>11</v>
      </c>
    </row>
    <row r="58" s="43" customFormat="1" hidden="1" customHeight="1" spans="1:61">
      <c r="A58" s="587" t="s">
        <v>266</v>
      </c>
      <c r="B58" s="587" t="s">
        <v>267</v>
      </c>
      <c r="C58" s="587" t="s">
        <v>268</v>
      </c>
      <c r="D58" s="587" t="s">
        <v>554</v>
      </c>
      <c r="E58" s="1039"/>
      <c r="F58" s="1039"/>
      <c r="G58" s="1039"/>
      <c r="H58" s="1039"/>
      <c r="I58" s="228"/>
      <c r="J58" s="587"/>
      <c r="K58" s="587"/>
      <c r="L58" s="608"/>
      <c r="M58" s="1043"/>
      <c r="N58" s="1043"/>
      <c r="O58" s="1043"/>
      <c r="P58" s="92"/>
      <c r="Q58" s="92"/>
      <c r="R58" s="93"/>
      <c r="S58" s="1065"/>
      <c r="T58" s="1066"/>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109"/>
      <c r="BE58" s="150"/>
      <c r="BF58" s="150" t="str">
        <f t="shared" si="4"/>
        <v/>
      </c>
      <c r="BG58" s="150"/>
      <c r="BH58" s="150"/>
      <c r="BI58" s="43">
        <v>0</v>
      </c>
    </row>
    <row r="59" s="43" customFormat="1" hidden="1" customHeight="1" spans="1:61">
      <c r="A59" s="587" t="s">
        <v>266</v>
      </c>
      <c r="B59" s="587" t="s">
        <v>267</v>
      </c>
      <c r="C59" s="587" t="s">
        <v>268</v>
      </c>
      <c r="D59" s="587" t="s">
        <v>554</v>
      </c>
      <c r="E59" s="1039"/>
      <c r="F59" s="1039"/>
      <c r="G59" s="1039"/>
      <c r="H59" s="1038"/>
      <c r="I59" s="587"/>
      <c r="J59" s="587"/>
      <c r="K59" s="587"/>
      <c r="L59" s="608"/>
      <c r="M59" s="282"/>
      <c r="N59" s="282"/>
      <c r="P59" s="151"/>
      <c r="Q59" s="1068"/>
      <c r="R59" s="1069"/>
      <c r="S59" s="1065"/>
      <c r="T59" s="1066"/>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109"/>
      <c r="BE59" s="150"/>
      <c r="BF59" s="150" t="str">
        <f t="shared" si="4"/>
        <v/>
      </c>
      <c r="BG59" s="150"/>
      <c r="BH59" s="150"/>
      <c r="BI59" s="43">
        <v>0</v>
      </c>
    </row>
    <row r="60" s="43" customFormat="1" hidden="1" customHeight="1" spans="1:61">
      <c r="A60" s="587" t="s">
        <v>266</v>
      </c>
      <c r="B60" s="587" t="s">
        <v>267</v>
      </c>
      <c r="C60" s="587" t="s">
        <v>268</v>
      </c>
      <c r="D60" s="587"/>
      <c r="E60" s="1039"/>
      <c r="F60" s="1039"/>
      <c r="G60" s="1038"/>
      <c r="H60" s="587"/>
      <c r="I60" s="587"/>
      <c r="J60" s="587"/>
      <c r="K60" s="587"/>
      <c r="L60" s="608"/>
      <c r="M60" s="282"/>
      <c r="N60" s="282"/>
      <c r="P60" s="151"/>
      <c r="Q60" s="1068"/>
      <c r="R60" s="151"/>
      <c r="S60" s="1070"/>
      <c r="T60" s="1071"/>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E60" s="150"/>
      <c r="BF60" s="150" t="str">
        <f t="shared" si="4"/>
        <v/>
      </c>
      <c r="BG60" s="150"/>
      <c r="BH60" s="150"/>
      <c r="BI60" s="43">
        <v>0</v>
      </c>
    </row>
    <row r="61" s="43" customFormat="1" hidden="1" customHeight="1" spans="1:61">
      <c r="A61" s="587" t="s">
        <v>266</v>
      </c>
      <c r="B61" s="587" t="s">
        <v>267</v>
      </c>
      <c r="C61" s="587"/>
      <c r="D61" s="587"/>
      <c r="E61" s="1039"/>
      <c r="F61" s="1038"/>
      <c r="G61" s="587"/>
      <c r="H61" s="587"/>
      <c r="I61" s="587"/>
      <c r="J61" s="587"/>
      <c r="K61" s="587"/>
      <c r="L61" s="608"/>
      <c r="M61" s="1045"/>
      <c r="N61" s="1045"/>
      <c r="P61" s="151"/>
      <c r="Q61" s="1068"/>
      <c r="R61" s="151"/>
      <c r="S61" s="1070"/>
      <c r="T61" s="1071" t="s">
        <v>251</v>
      </c>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V61" s="306"/>
      <c r="AW61" s="306"/>
      <c r="AX61" s="306"/>
      <c r="AY61" s="306"/>
      <c r="AZ61" s="306"/>
      <c r="BA61" s="306"/>
      <c r="BB61" s="306"/>
      <c r="BC61" s="306"/>
      <c r="BE61" s="150"/>
      <c r="BF61" s="150" t="str">
        <f t="shared" si="4"/>
        <v>Добавить централизованную систему для дифференциации</v>
      </c>
      <c r="BG61" s="150"/>
      <c r="BH61" s="150"/>
      <c r="BI61" s="43">
        <v>0</v>
      </c>
    </row>
    <row r="62" s="43" customFormat="1" hidden="1" customHeight="1" spans="1:61">
      <c r="A62" s="587" t="s">
        <v>266</v>
      </c>
      <c r="B62" s="587"/>
      <c r="C62" s="587"/>
      <c r="D62" s="587"/>
      <c r="E62" s="1038"/>
      <c r="F62" s="587"/>
      <c r="G62" s="587"/>
      <c r="H62" s="587"/>
      <c r="I62" s="587"/>
      <c r="J62" s="587"/>
      <c r="K62" s="587"/>
      <c r="L62" s="608"/>
      <c r="M62" s="1045"/>
      <c r="N62" s="1045"/>
      <c r="P62" s="151"/>
      <c r="Q62" s="1068"/>
      <c r="R62" s="151"/>
      <c r="S62" s="1070"/>
      <c r="T62" s="1071" t="s">
        <v>252</v>
      </c>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E62" s="150"/>
      <c r="BF62" s="150" t="str">
        <f t="shared" si="4"/>
        <v>Добавить территорию для дифференциации</v>
      </c>
      <c r="BG62" s="150"/>
      <c r="BH62" s="150"/>
      <c r="BI62" s="43">
        <v>0</v>
      </c>
    </row>
    <row r="63" s="43" customFormat="1" hidden="1" customHeight="1" spans="1:61">
      <c r="A63" s="587"/>
      <c r="B63" s="587"/>
      <c r="C63" s="587"/>
      <c r="D63" s="587"/>
      <c r="E63" s="587"/>
      <c r="F63" s="587"/>
      <c r="G63" s="587"/>
      <c r="H63" s="587"/>
      <c r="I63" s="587"/>
      <c r="J63" s="587"/>
      <c r="K63" s="587"/>
      <c r="L63" s="608"/>
      <c r="M63" s="1045"/>
      <c r="N63" s="1045"/>
      <c r="P63" s="151"/>
      <c r="Q63" s="1068"/>
      <c r="R63" s="151"/>
      <c r="S63" s="1070"/>
      <c r="T63" s="1071" t="s">
        <v>253</v>
      </c>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E63" s="150"/>
      <c r="BF63" s="150" t="str">
        <f t="shared" si="4"/>
        <v>Добавить наименование тарифа</v>
      </c>
      <c r="BG63" s="150"/>
      <c r="BH63" s="150"/>
      <c r="BI63" s="43">
        <v>0</v>
      </c>
    </row>
    <row r="64" ht="11.55" customHeight="1" spans="13:61">
      <c r="M64" s="37"/>
      <c r="N64" s="37"/>
      <c r="O64" s="37"/>
      <c r="P64" s="37"/>
      <c r="Q64" s="37"/>
      <c r="R64" s="42"/>
      <c r="S64" s="42"/>
      <c r="BD64" s="42"/>
      <c r="BE64" s="42"/>
      <c r="BF64" s="42"/>
      <c r="BG64" s="42"/>
      <c r="BH64" s="42"/>
      <c r="BI64" s="42">
        <v>11</v>
      </c>
    </row>
    <row r="65" ht="19.95" customHeight="1" spans="15:61">
      <c r="O65" s="37"/>
      <c r="S65" s="781"/>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119"/>
      <c r="BA65" s="119"/>
      <c r="BB65" s="119"/>
      <c r="BC65" s="119"/>
      <c r="BI65" s="42">
        <v>19</v>
      </c>
    </row>
    <row r="66" ht="14.7" customHeight="1" spans="15:61">
      <c r="O66" s="37"/>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119"/>
      <c r="BA66" s="119"/>
      <c r="BB66" s="119"/>
      <c r="BC66" s="119"/>
      <c r="BI66" s="42">
        <v>14</v>
      </c>
    </row>
    <row r="67" ht="19.95" customHeight="1" spans="15:61">
      <c r="O67" s="37"/>
      <c r="S67" s="781"/>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119"/>
      <c r="BA67" s="119"/>
      <c r="BB67" s="119"/>
      <c r="BC67" s="119"/>
      <c r="BI67" s="42">
        <v>19</v>
      </c>
    </row>
    <row r="68" ht="14.7" customHeight="1" spans="15:61">
      <c r="O68" s="37"/>
      <c r="BI68" s="42">
        <v>14</v>
      </c>
    </row>
    <row r="69" hidden="1" customHeight="1" spans="1:61">
      <c r="A69" s="37" t="s">
        <v>83</v>
      </c>
      <c r="B69" s="37">
        <v>0</v>
      </c>
      <c r="C69" s="37">
        <v>0</v>
      </c>
      <c r="D69" s="37">
        <v>0</v>
      </c>
      <c r="E69" s="37">
        <v>0</v>
      </c>
      <c r="F69" s="37">
        <v>0</v>
      </c>
      <c r="G69" s="37">
        <v>0</v>
      </c>
      <c r="H69" s="37">
        <v>0</v>
      </c>
      <c r="I69" s="37">
        <v>0</v>
      </c>
      <c r="J69" s="37">
        <v>0</v>
      </c>
      <c r="K69" s="37">
        <v>0</v>
      </c>
      <c r="L69" s="47">
        <v>0</v>
      </c>
      <c r="M69" s="38">
        <v>0</v>
      </c>
      <c r="N69" s="38">
        <v>0</v>
      </c>
      <c r="O69" s="38">
        <v>0</v>
      </c>
      <c r="P69" s="38">
        <v>0</v>
      </c>
      <c r="Q69" s="1037">
        <v>0</v>
      </c>
      <c r="R69" s="40">
        <v>3</v>
      </c>
      <c r="S69" s="41">
        <v>12</v>
      </c>
      <c r="T69" s="42">
        <v>31</v>
      </c>
      <c r="U69" s="42">
        <v>0</v>
      </c>
      <c r="V69" s="42">
        <v>0</v>
      </c>
      <c r="W69" s="42">
        <v>0</v>
      </c>
      <c r="X69" s="42">
        <v>0</v>
      </c>
      <c r="Y69" s="42">
        <v>0</v>
      </c>
      <c r="Z69" s="42">
        <v>0</v>
      </c>
      <c r="AA69" s="42">
        <v>0</v>
      </c>
      <c r="AB69" s="42">
        <v>0</v>
      </c>
      <c r="AC69" s="42">
        <v>0</v>
      </c>
      <c r="AD69" s="42">
        <v>3</v>
      </c>
      <c r="AE69" s="42">
        <v>3</v>
      </c>
      <c r="AF69" s="42">
        <v>3</v>
      </c>
      <c r="AG69" s="42">
        <v>24</v>
      </c>
      <c r="AH69" s="42">
        <v>3</v>
      </c>
      <c r="AI69" s="42">
        <v>3</v>
      </c>
      <c r="AJ69" s="42">
        <v>3</v>
      </c>
      <c r="AK69" s="42">
        <v>24</v>
      </c>
      <c r="AL69" s="42">
        <v>3</v>
      </c>
      <c r="AM69" s="42">
        <v>3</v>
      </c>
      <c r="AN69" s="42">
        <v>3</v>
      </c>
      <c r="AO69" s="42">
        <v>18</v>
      </c>
      <c r="AP69" s="42">
        <v>3</v>
      </c>
      <c r="AQ69" s="42">
        <v>3</v>
      </c>
      <c r="AR69" s="42">
        <v>3</v>
      </c>
      <c r="AS69" s="42">
        <v>18</v>
      </c>
      <c r="AT69" s="42">
        <v>21</v>
      </c>
      <c r="AU69" s="42">
        <v>21</v>
      </c>
      <c r="AV69" s="42">
        <v>21</v>
      </c>
      <c r="AW69" s="42">
        <v>21</v>
      </c>
      <c r="AX69" s="42">
        <v>11</v>
      </c>
      <c r="AY69" s="42">
        <v>3</v>
      </c>
      <c r="AZ69" s="42">
        <v>11</v>
      </c>
      <c r="BA69" s="42">
        <v>0</v>
      </c>
      <c r="BB69" s="42">
        <v>4</v>
      </c>
      <c r="BC69" s="42">
        <v>115</v>
      </c>
      <c r="BD69" s="43">
        <v>10</v>
      </c>
      <c r="BE69" s="43">
        <v>10</v>
      </c>
      <c r="BF69" s="43">
        <v>10</v>
      </c>
      <c r="BG69" s="43">
        <v>10</v>
      </c>
      <c r="BH69" s="43">
        <v>10</v>
      </c>
      <c r="BI69" s="42">
        <v>23</v>
      </c>
    </row>
  </sheetData>
  <sheetProtection formatColumns="0" formatRows="0" insertRows="0" deleteColumns="0" deleteRows="0" sort="0" autoFilter="0"/>
  <mergeCells count="122">
    <mergeCell ref="V2:AC2"/>
    <mergeCell ref="AD2:BB2"/>
    <mergeCell ref="V3:AC3"/>
    <mergeCell ref="AD3:BB3"/>
    <mergeCell ref="V4:AC4"/>
    <mergeCell ref="AD4:BB4"/>
    <mergeCell ref="V5:AC5"/>
    <mergeCell ref="AD5:BB5"/>
    <mergeCell ref="V6:AC6"/>
    <mergeCell ref="AD6:BB6"/>
    <mergeCell ref="V7:AC7"/>
    <mergeCell ref="AD7:BB7"/>
    <mergeCell ref="S28:AZ28"/>
    <mergeCell ref="S29:AZ29"/>
    <mergeCell ref="S31:T31"/>
    <mergeCell ref="V31:AB31"/>
    <mergeCell ref="AD31:AZ31"/>
    <mergeCell ref="S32:T32"/>
    <mergeCell ref="V32:AB32"/>
    <mergeCell ref="AD32:AZ32"/>
    <mergeCell ref="S33:T33"/>
    <mergeCell ref="V33:AB33"/>
    <mergeCell ref="AD33:AZ33"/>
    <mergeCell ref="S34:T34"/>
    <mergeCell ref="V34:AB34"/>
    <mergeCell ref="AD34:AZ34"/>
    <mergeCell ref="S36:T36"/>
    <mergeCell ref="V36:AB36"/>
    <mergeCell ref="AD36:AZ36"/>
    <mergeCell ref="S37:T37"/>
    <mergeCell ref="V37:AB37"/>
    <mergeCell ref="AD37:AZ37"/>
    <mergeCell ref="V39:AC39"/>
    <mergeCell ref="AD39:BA39"/>
    <mergeCell ref="S40:BB40"/>
    <mergeCell ref="V41:AB41"/>
    <mergeCell ref="AT41:AZ41"/>
    <mergeCell ref="AA44:AB44"/>
    <mergeCell ref="AY44:AZ44"/>
    <mergeCell ref="AA45:AB45"/>
    <mergeCell ref="AY45:AZ45"/>
    <mergeCell ref="V46:AC46"/>
    <mergeCell ref="AD46:BB46"/>
    <mergeCell ref="V47:AC47"/>
    <mergeCell ref="AD47:BB47"/>
    <mergeCell ref="V48:AC48"/>
    <mergeCell ref="AD48:BB48"/>
    <mergeCell ref="V49:AC49"/>
    <mergeCell ref="AD49:BB49"/>
    <mergeCell ref="V50:AC50"/>
    <mergeCell ref="AD50:BB50"/>
    <mergeCell ref="V51:AC51"/>
    <mergeCell ref="AD51:BB51"/>
    <mergeCell ref="T65:BC65"/>
    <mergeCell ref="T67:BC67"/>
    <mergeCell ref="E2:E18"/>
    <mergeCell ref="E46:E62"/>
    <mergeCell ref="F3:F17"/>
    <mergeCell ref="F47:F61"/>
    <mergeCell ref="G4:G16"/>
    <mergeCell ref="G48:G60"/>
    <mergeCell ref="H5:H15"/>
    <mergeCell ref="H49:H59"/>
    <mergeCell ref="I6:I14"/>
    <mergeCell ref="I50:I58"/>
    <mergeCell ref="J7:J13"/>
    <mergeCell ref="J51:J57"/>
    <mergeCell ref="K8:K12"/>
    <mergeCell ref="K52:K56"/>
    <mergeCell ref="P6:P14"/>
    <mergeCell ref="P50:P58"/>
    <mergeCell ref="Q7:Q13"/>
    <mergeCell ref="Q51:Q57"/>
    <mergeCell ref="R8:R12"/>
    <mergeCell ref="S8:S12"/>
    <mergeCell ref="S41:S44"/>
    <mergeCell ref="S52:S56"/>
    <mergeCell ref="T8:T12"/>
    <mergeCell ref="T41:T44"/>
    <mergeCell ref="T52:T56"/>
    <mergeCell ref="AC41:AC44"/>
    <mergeCell ref="AD8:AD12"/>
    <mergeCell ref="AD52:AD56"/>
    <mergeCell ref="AE8:AE11"/>
    <mergeCell ref="AE52:AE55"/>
    <mergeCell ref="AF8:AF11"/>
    <mergeCell ref="AF52:AF55"/>
    <mergeCell ref="AG8:AG11"/>
    <mergeCell ref="AG52:AG55"/>
    <mergeCell ref="AH8:AH11"/>
    <mergeCell ref="AH52:AH55"/>
    <mergeCell ref="AI8:AI10"/>
    <mergeCell ref="AI52:AI54"/>
    <mergeCell ref="AJ8:AJ10"/>
    <mergeCell ref="AJ52:AJ54"/>
    <mergeCell ref="AK8:AK10"/>
    <mergeCell ref="AK52:AK54"/>
    <mergeCell ref="AL8:AL10"/>
    <mergeCell ref="AL52:AL54"/>
    <mergeCell ref="AM8:AM9"/>
    <mergeCell ref="AM52:AM53"/>
    <mergeCell ref="AN8:AN9"/>
    <mergeCell ref="AN52:AN53"/>
    <mergeCell ref="AO8:AO9"/>
    <mergeCell ref="AO52:AO53"/>
    <mergeCell ref="AP8:AP9"/>
    <mergeCell ref="AP52:AP53"/>
    <mergeCell ref="BA41:BA44"/>
    <mergeCell ref="BB41:BB44"/>
    <mergeCell ref="BC8:BC13"/>
    <mergeCell ref="BC40:BC44"/>
    <mergeCell ref="BC52:BC57"/>
    <mergeCell ref="AD41:AG44"/>
    <mergeCell ref="AH41:AK44"/>
    <mergeCell ref="AL41:AO44"/>
    <mergeCell ref="AP41:AS44"/>
    <mergeCell ref="V42:W43"/>
    <mergeCell ref="X42:Y43"/>
    <mergeCell ref="AT42:AU43"/>
    <mergeCell ref="AV42:AW43"/>
    <mergeCell ref="Z42:AB43"/>
    <mergeCell ref="AX42:AZ43"/>
  </mergeCells>
  <dataValidations count="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8 AB8 AX8 AZ8 AX20 AZ20 Z52 AB52 AX52 AZ52 Z65589 AB65589 AX65589 AZ65589 Z131125 AB131125 AX131125 AZ131125 Z196661 AB196661 AX196661 AZ196661 Z262197 AB262197 AX262197 AZ262197 Z327733 AB327733 AX327733 AZ327733 Z393269 AB393269 AX393269 AZ393269 Z458805 AB458805 AX458805 AZ458805 Z524341 AB524341 AX524341 AZ524341 Z589877 AB589877 AX589877 AZ589877 Z655413 AB655413 AX655413 AZ655413 Z720949 AB720949 AX720949 AZ720949 Z786485 AB786485 AX786485 AZ786485 Z852021 AB852021 AX852021 AZ852021 Z917557 AB917557 AX917557 AZ917557 Z983093 AB983093 AX983093 AZ983093"/>
    <dataValidation allowBlank="1" showInputMessage="1" showErrorMessage="1" prompt="Для выбора выполните двойной щелчок левой клавиши мыши по соответствующей ячейке." sqref="AA8 AC8:AD8 AP8 AY8 BA8 AD20 AG20:AH20 AK20:AL20 AP20 AY20 BA20 AA52 AC52:AD52 AP52 AY52 BA52 AA65589 AC65589 AY65589 BA65589 AA131125 AC131125 AY131125 BA131125 AA196661 AC196661 AY196661 BA196661 AA262197 AC262197 AY262197 BA262197 AA327733 AC327733 AY327733 BA327733 AA393269 AC393269 AY393269 BA393269 AA458805 AC458805 AY458805 BA458805 AA524341 AC524341 AY524341 BA524341 AA589877 AC589877 AY589877 BA589877 AA655413 AC655413 AY655413 BA655413 AA720949 AC720949 AY720949 BA720949 AA786485 AC786485 AY786485 BA786485 AA852021 AC852021 AY852021 BA852021 AA917557 AC917557 AY917557 BA917557 AA983093 AC983093 AY983093 BA983093 AH8:AH9 AH52:AH53 AK8:AL9 AK52:AL53"/>
    <dataValidation type="textLength" operator="lessThanOrEqual" allowBlank="1" showInputMessage="1" showErrorMessage="1" errorTitle="Ошибка" error="Допускается ввод не более 900 символов!" sqref="AS8 AS52 T8:T12 T52:T56 BC65583:BC65590 BC131119:BC131126 BC196655:BC196662 BC262191:BC262198 BC327727:BC327734 BC393263:BC393270 BC458799:BC458806 BC524335:BC524342 BC589871:BC589878 BC655407:BC655414 BC720943:BC720950 BC786479:BC786486 BC852015:BC852022 BC917551:BC917558 BC983087:BC983094">
      <formula1>900</formula1>
    </dataValidation>
    <dataValidation allowBlank="1" promptTitle="checkPeriodRange" sqref="W12 Y12 AU12 AW12 BB12 W56 Y56 AU56 AW56 BB56 W65590 Y65590 AW65590 W131126 Y131126 AW131126 W196662 Y196662 AW196662 W262198 Y262198 AW262198 W327734 Y327734 AW327734 W393270 Y393270 AW393270 W458806 Y458806 AW458806 W524342 Y524342 AW524342 W589878 Y589878 AW589878 W655414 Y655414 AW655414 W720950 Y720950 AW720950 W786486 Y786486 AW786486 W852022 Y852022 AW852022 W917558 Y917558 AW917558 W983094 Y983094 AW983094"/>
    <dataValidation type="list" allowBlank="1" showInputMessage="1" showErrorMessage="1" errorTitle="Ошибка" error="Выберите значение из списка" sqref="AD65587:AS65587 AD131123:AS131123 AD196659:AS196659 AD262195:AS262195 AD327731:AS327731 AD393267:AS393267 AD458803:AS458803 AD524339:AS524339 AD589875:AS589875 AD655411:AS655411 AD720947:AS720947 AD786483:AS786483 AD852019:AS852019 AD917555:AS917555 AD983091:AS983091">
      <formula1>kind_of_scheme_in</formula1>
    </dataValidation>
    <dataValidation type="list" allowBlank="1" showInputMessage="1" errorTitle="Ошибка" error="Выберите значение из списка" prompt="Выберите значение из списка" sqref="V65588:BB65588 V131124:BB131124 V196660:BB196660 V262196:BB262196 V327732:BB327732 V393268:BB393268 V458804:BB458804 V524340:BB524340 V589876:BB589876 V655412:BB655412 V720948:BB720948 V786484:BB786484 V852020:BB852020 V917556:BB917556 V983092:BB983092">
      <formula1>kind_of_cons</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decimal" operator="between" allowBlank="1" showErrorMessage="1" errorTitle="Ошибка" error="Допускается ввод только действительных чисел!" sqref="AG8:AG11 AG52:AG55 AO8:AO9 AO52:AO53">
      <formula1>-9.99999999999999E+23</formula1>
      <formula2>9.99999999999999E+23</formula2>
    </dataValidation>
    <dataValidation allowBlank="1" sqref="S65591:BC65597 S524343:BC524349 S983095:BC983101 S458807:BC458813 S917559:BC917565 S393271:BC393277 S852023:BC852029 S327735:BC327741 S786487:BC786493 S262199:BC262205 S720951:BC720957 S196663:BC196669 S655415:BC655421 S131127:BC131133 S589879:BC589885"/>
  </dataValidations>
  <pageMargins left="0.7" right="0.7" top="0.75" bottom="0.75" header="0.3" footer="0.3"/>
  <pageSetup paperSize="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F303"/>
  <sheetViews>
    <sheetView showGridLines="0" zoomScale="90" zoomScaleNormal="90" workbookViewId="0">
      <pane xSplit="8" ySplit="29" topLeftCell="I30" activePane="bottomRight" state="frozen"/>
      <selection/>
      <selection pane="topRight"/>
      <selection pane="bottomLeft"/>
      <selection pane="bottomRight" activeCell="A1" sqref="A1"/>
    </sheetView>
  </sheetViews>
  <sheetFormatPr defaultColWidth="9.14285714285714" defaultRowHeight="11.25" customHeight="1"/>
  <cols>
    <col min="1" max="1" width="10.7142857142857" style="946" hidden="1" customWidth="1"/>
    <col min="2" max="2" width="16.847619047619" style="37" hidden="1" customWidth="1"/>
    <col min="3" max="3" width="5.57142857142857" style="43" hidden="1" customWidth="1"/>
    <col min="4" max="4" width="3" style="42" customWidth="1"/>
    <col min="5" max="5" width="7" style="42" customWidth="1"/>
    <col min="6" max="6" width="54" style="42" customWidth="1"/>
    <col min="7" max="7" width="10" style="42" customWidth="1"/>
    <col min="8" max="8" width="40.7142857142857" style="42" hidden="1" customWidth="1"/>
    <col min="9" max="9" width="40.7142857142857" style="42" customWidth="1"/>
    <col min="10" max="10" width="102" style="42" customWidth="1"/>
    <col min="11" max="11" width="9" style="37" customWidth="1"/>
    <col min="12" max="12" width="5" style="43" customWidth="1"/>
    <col min="13" max="13" width="3" style="43" customWidth="1"/>
    <col min="14" max="17" width="3" style="37" customWidth="1"/>
    <col min="18" max="18" width="10" style="43" customWidth="1"/>
    <col min="19" max="19" width="34" style="37" customWidth="1"/>
    <col min="20" max="20" width="9" style="37" customWidth="1"/>
    <col min="21" max="21" width="8" style="947" customWidth="1"/>
    <col min="22" max="26" width="8" style="37" customWidth="1"/>
    <col min="27" max="31" width="8" style="572" customWidth="1"/>
    <col min="32" max="32" width="9.14285714285714" style="42" hidden="1"/>
  </cols>
  <sheetData>
    <row r="1" ht="22.5" hidden="1" customHeight="1" spans="32:32">
      <c r="AF1" s="42" t="s">
        <v>14</v>
      </c>
    </row>
    <row r="2" ht="23.25" hidden="1" customHeight="1" spans="2:32">
      <c r="B2" s="85"/>
      <c r="C2" s="306" t="s">
        <v>555</v>
      </c>
      <c r="D2" s="519"/>
      <c r="E2" s="998">
        <f>B2</f>
        <v>0</v>
      </c>
      <c r="F2" s="999"/>
      <c r="G2" s="63" t="s">
        <v>556</v>
      </c>
      <c r="H2" s="63" t="s">
        <v>556</v>
      </c>
      <c r="I2" s="63" t="s">
        <v>556</v>
      </c>
      <c r="J2" s="82" t="s">
        <v>557</v>
      </c>
      <c r="K2" s="965"/>
      <c r="AF2" s="42">
        <v>0</v>
      </c>
    </row>
    <row r="3" s="43" customFormat="1" ht="0.75" hidden="1" customHeight="1" spans="2:32">
      <c r="B3" s="85"/>
      <c r="C3" s="306"/>
      <c r="D3" s="306"/>
      <c r="E3" s="1000"/>
      <c r="F3" s="1001" t="s">
        <v>558</v>
      </c>
      <c r="G3" s="672"/>
      <c r="H3" s="672">
        <f>H4*H5+H7</f>
        <v>0</v>
      </c>
      <c r="I3" s="672">
        <f>I4*I5+I6</f>
        <v>0</v>
      </c>
      <c r="J3" s="393"/>
      <c r="AF3" s="43">
        <v>0</v>
      </c>
    </row>
    <row r="4" ht="23.25" hidden="1" customHeight="1" spans="2:32">
      <c r="B4" s="85"/>
      <c r="C4" s="306"/>
      <c r="D4" s="519"/>
      <c r="E4" s="998" t="str">
        <f>B2&amp;".1"</f>
        <v>.1</v>
      </c>
      <c r="F4" s="919" t="s">
        <v>559</v>
      </c>
      <c r="G4" s="1002"/>
      <c r="H4" s="101"/>
      <c r="I4" s="101"/>
      <c r="J4" s="82" t="s">
        <v>560</v>
      </c>
      <c r="K4" s="965"/>
      <c r="AF4" s="42">
        <v>0</v>
      </c>
    </row>
    <row r="5" ht="18.75" hidden="1" customHeight="1" spans="2:32">
      <c r="B5" s="85"/>
      <c r="C5" s="306"/>
      <c r="D5" s="519"/>
      <c r="E5" s="998" t="str">
        <f>B2&amp;".2"</f>
        <v>.2</v>
      </c>
      <c r="F5" s="919" t="s">
        <v>561</v>
      </c>
      <c r="G5" s="63" t="s">
        <v>562</v>
      </c>
      <c r="H5" s="101"/>
      <c r="I5" s="101"/>
      <c r="J5" s="82"/>
      <c r="K5" s="965"/>
      <c r="AF5" s="42">
        <v>0</v>
      </c>
    </row>
    <row r="6" ht="18.75" hidden="1" customHeight="1" spans="2:32">
      <c r="B6" s="85"/>
      <c r="C6" s="306"/>
      <c r="D6" s="519"/>
      <c r="E6" s="998" t="str">
        <f>B2&amp;".3"</f>
        <v>.3</v>
      </c>
      <c r="F6" s="919" t="s">
        <v>563</v>
      </c>
      <c r="G6" s="63" t="s">
        <v>562</v>
      </c>
      <c r="H6" s="101"/>
      <c r="I6" s="101"/>
      <c r="J6" s="82"/>
      <c r="K6" s="965"/>
      <c r="AF6" s="42">
        <v>0</v>
      </c>
    </row>
    <row r="7" ht="18.75" hidden="1" customHeight="1" spans="2:32">
      <c r="B7" s="85"/>
      <c r="C7" s="306"/>
      <c r="D7" s="519"/>
      <c r="E7" s="998" t="str">
        <f>B2&amp;".4"</f>
        <v>.4</v>
      </c>
      <c r="F7" s="919" t="s">
        <v>564</v>
      </c>
      <c r="G7" s="63" t="s">
        <v>556</v>
      </c>
      <c r="H7" s="1003"/>
      <c r="I7" s="1003"/>
      <c r="J7" s="82"/>
      <c r="K7" s="965"/>
      <c r="AF7" s="42">
        <v>0</v>
      </c>
    </row>
    <row r="8" s="37" customFormat="1" hidden="1" customHeight="1" spans="1:32">
      <c r="A8" s="946"/>
      <c r="C8" s="43"/>
      <c r="H8" s="37">
        <v>4</v>
      </c>
      <c r="I8" s="37">
        <v>4</v>
      </c>
      <c r="L8" s="43"/>
      <c r="M8" s="43"/>
      <c r="R8" s="43"/>
      <c r="AF8" s="37">
        <v>0</v>
      </c>
    </row>
    <row r="9" s="37" customFormat="1" ht="22.5" hidden="1" customHeight="1" spans="1:32">
      <c r="A9" s="946"/>
      <c r="C9" s="43"/>
      <c r="D9" s="824"/>
      <c r="E9" s="63"/>
      <c r="F9" s="218"/>
      <c r="G9" s="63" t="s">
        <v>562</v>
      </c>
      <c r="H9" s="101"/>
      <c r="I9" s="101"/>
      <c r="J9" s="964" t="s">
        <v>565</v>
      </c>
      <c r="K9" s="965"/>
      <c r="L9" s="43"/>
      <c r="M9" s="43"/>
      <c r="R9" s="43"/>
      <c r="U9" s="947"/>
      <c r="AA9" s="572"/>
      <c r="AB9" s="572"/>
      <c r="AC9" s="572"/>
      <c r="AD9" s="572"/>
      <c r="AE9" s="572"/>
      <c r="AF9" s="37">
        <v>0</v>
      </c>
    </row>
    <row r="10" hidden="1" customHeight="1" spans="32:32">
      <c r="AF10" s="42">
        <v>0</v>
      </c>
    </row>
    <row r="11" ht="18.75" hidden="1" customHeight="1" spans="4:32">
      <c r="D11" s="519"/>
      <c r="E11" s="998"/>
      <c r="F11" s="218"/>
      <c r="G11" s="63" t="s">
        <v>566</v>
      </c>
      <c r="H11" s="101"/>
      <c r="I11" s="101"/>
      <c r="J11" s="82" t="s">
        <v>567</v>
      </c>
      <c r="K11" s="965"/>
      <c r="AF11" s="42">
        <v>0</v>
      </c>
    </row>
    <row r="12" hidden="1" customHeight="1" spans="32:32">
      <c r="AF12" s="42">
        <v>0</v>
      </c>
    </row>
    <row r="13" ht="22.5" hidden="1" customHeight="1" spans="4:32">
      <c r="D13" s="519"/>
      <c r="E13" s="998"/>
      <c r="F13" s="218"/>
      <c r="G13" s="126" t="s">
        <v>568</v>
      </c>
      <c r="H13" s="962"/>
      <c r="I13" s="962"/>
      <c r="J13" s="1014" t="s">
        <v>569</v>
      </c>
      <c r="K13" s="965"/>
      <c r="AF13" s="42">
        <v>0</v>
      </c>
    </row>
    <row r="14" hidden="1" customHeight="1" spans="32:32">
      <c r="AF14" s="42">
        <v>0</v>
      </c>
    </row>
    <row r="15" ht="22.5" hidden="1" customHeight="1" spans="4:32">
      <c r="D15" s="519"/>
      <c r="E15" s="998"/>
      <c r="F15" s="218"/>
      <c r="G15" s="63" t="s">
        <v>570</v>
      </c>
      <c r="H15" s="962"/>
      <c r="I15" s="962"/>
      <c r="J15" s="82" t="s">
        <v>571</v>
      </c>
      <c r="K15" s="965"/>
      <c r="AF15" s="42">
        <v>0</v>
      </c>
    </row>
    <row r="16" hidden="1" customHeight="1" spans="32:32">
      <c r="AF16" s="42">
        <v>0</v>
      </c>
    </row>
    <row r="17" ht="22.5" hidden="1" customHeight="1" spans="4:32">
      <c r="D17" s="519"/>
      <c r="E17" s="998"/>
      <c r="F17" s="218"/>
      <c r="G17" s="63" t="s">
        <v>572</v>
      </c>
      <c r="H17" s="962"/>
      <c r="I17" s="962"/>
      <c r="J17" s="82" t="s">
        <v>573</v>
      </c>
      <c r="K17" s="965"/>
      <c r="AF17" s="42">
        <v>0</v>
      </c>
    </row>
    <row r="18" hidden="1" customHeight="1" spans="32:32">
      <c r="AF18" s="42">
        <v>0</v>
      </c>
    </row>
    <row r="19" s="572" customFormat="1" hidden="1" customHeight="1" spans="1:32">
      <c r="A19" s="946"/>
      <c r="B19" s="37"/>
      <c r="C19" s="43"/>
      <c r="J19" s="572">
        <v>4</v>
      </c>
      <c r="K19" s="37"/>
      <c r="L19" s="43"/>
      <c r="M19" s="43"/>
      <c r="N19" s="37"/>
      <c r="O19" s="37"/>
      <c r="P19" s="37"/>
      <c r="Q19" s="37"/>
      <c r="R19" s="43"/>
      <c r="S19" s="37"/>
      <c r="T19" s="37"/>
      <c r="U19" s="947"/>
      <c r="V19" s="37"/>
      <c r="W19" s="37"/>
      <c r="X19" s="37"/>
      <c r="Y19" s="37"/>
      <c r="Z19" s="37"/>
      <c r="AF19" s="572">
        <v>0</v>
      </c>
    </row>
    <row r="20" ht="11.55" customHeight="1" spans="32:32">
      <c r="AF20" s="42">
        <v>11</v>
      </c>
    </row>
    <row r="21" ht="25.2" customHeight="1" spans="5:32">
      <c r="E21" s="75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750"/>
      <c r="G21" s="750"/>
      <c r="H21" s="750"/>
      <c r="I21" s="750"/>
      <c r="J21" s="120"/>
      <c r="AF21" s="42">
        <v>24</v>
      </c>
    </row>
    <row r="22" ht="25.2" customHeight="1" spans="5:32">
      <c r="E22" s="657" t="str">
        <f>IF(org=0,"Не определено",org)</f>
        <v>АО "ОЭЗ ППТ "Алабуга"</v>
      </c>
      <c r="F22" s="657"/>
      <c r="G22" s="657"/>
      <c r="H22" s="657"/>
      <c r="I22" s="657"/>
      <c r="AF22" s="42">
        <v>24</v>
      </c>
    </row>
    <row r="23" ht="11.55" customHeight="1" spans="5:32">
      <c r="E23" s="889"/>
      <c r="F23" s="889"/>
      <c r="G23" s="889"/>
      <c r="H23" s="889"/>
      <c r="I23" s="889"/>
      <c r="AF23" s="42">
        <v>11</v>
      </c>
    </row>
    <row r="24" s="43" customFormat="1" ht="1.05" customHeight="1" spans="1:32">
      <c r="A24" s="306"/>
      <c r="H24" s="948"/>
      <c r="I24" s="948" t="s">
        <v>119</v>
      </c>
      <c r="AF24" s="43">
        <v>1</v>
      </c>
    </row>
    <row r="25" ht="11.55" customHeight="1" spans="5:32">
      <c r="E25" s="751"/>
      <c r="F25" s="752" t="s">
        <v>107</v>
      </c>
      <c r="G25" s="753"/>
      <c r="H25" s="912" t="str">
        <f>IF(H24="","",INDEX(DIFFERENTIATION_UNMERGE_VD,MATCH(H24,DIFFERENTIATION_ID_DIFF,0)))</f>
        <v/>
      </c>
      <c r="I25" s="912">
        <f>IF(I24="","",INDEX(DIFFERENTIATION_UNMERGE_VD,MATCH(I24,DIFFERENTIATION_ID_DIFF,0)))</f>
        <v>0</v>
      </c>
      <c r="J25" s="63"/>
      <c r="AF25" s="42">
        <v>11</v>
      </c>
    </row>
    <row r="26" ht="11.55" customHeight="1" spans="5:32">
      <c r="E26" s="751"/>
      <c r="F26" s="752" t="s">
        <v>574</v>
      </c>
      <c r="G26" s="753"/>
      <c r="H26" s="912" t="str">
        <f>IF(H24="","",INDEX(DIFFERENTIATION_UNMERGE_AREA,MATCH(H24,DIFFERENTIATION_ID_DIFF,0)))</f>
        <v/>
      </c>
      <c r="I26" s="912" t="str">
        <f>IF(I24="","",INDEX(DIFFERENTIATION_UNMERGE_AREA,MATCH(I24,DIFFERENTIATION_ID_DIFF,0)))</f>
        <v/>
      </c>
      <c r="J26" s="63"/>
      <c r="AF26" s="42">
        <v>11</v>
      </c>
    </row>
    <row r="27" ht="11.55" customHeight="1" spans="5:32">
      <c r="E27" s="751"/>
      <c r="F27" s="752" t="s">
        <v>575</v>
      </c>
      <c r="G27" s="753"/>
      <c r="H27" s="912" t="str">
        <f>IF(H24="","",INDEX(DIFFERENTIATION_UNMERGE_SYSTEM,MATCH(H24,DIFFERENTIATION_ID_DIFF,0)))</f>
        <v/>
      </c>
      <c r="I27" s="912" t="str">
        <f>IF(I24="","",INDEX(DIFFERENTIATION_UNMERGE_SYSTEM,MATCH(I24,DIFFERENTIATION_ID_DIFF,0)))</f>
        <v>без дифференциации</v>
      </c>
      <c r="J27" s="63"/>
      <c r="AF27" s="42">
        <v>11</v>
      </c>
    </row>
    <row r="28" ht="11.55" customHeight="1" spans="5:32">
      <c r="E28" s="756" t="s">
        <v>305</v>
      </c>
      <c r="F28" s="757"/>
      <c r="G28" s="757"/>
      <c r="H28" s="752"/>
      <c r="I28" s="752"/>
      <c r="J28" s="63"/>
      <c r="AF28" s="42">
        <v>11</v>
      </c>
    </row>
    <row r="29" ht="24" customHeight="1" spans="5:32">
      <c r="E29" s="63" t="s">
        <v>89</v>
      </c>
      <c r="F29" s="63" t="s">
        <v>307</v>
      </c>
      <c r="G29" s="63" t="s">
        <v>576</v>
      </c>
      <c r="H29" s="63" t="s">
        <v>308</v>
      </c>
      <c r="I29" s="63" t="s">
        <v>308</v>
      </c>
      <c r="J29" s="63"/>
      <c r="AF29" s="42">
        <v>23</v>
      </c>
    </row>
    <row r="30" ht="19.95" customHeight="1" spans="4:32">
      <c r="D30" s="519"/>
      <c r="E30" s="998">
        <f>FHD_NUM_P_1</f>
        <v>1</v>
      </c>
      <c r="F30" s="392" t="str">
        <f>FHD_P_1</f>
        <v>Выручка от регулируемых видов деятельности в сфере холодного водоснабжения</v>
      </c>
      <c r="G30" s="63" t="s">
        <v>562</v>
      </c>
      <c r="H30" s="916"/>
      <c r="I30" s="916"/>
      <c r="J30" s="82" t="str">
        <f>FHD_NOTE_P_1</f>
        <v>Указывается выручка с распределением по видам деятельности.</v>
      </c>
      <c r="K30" s="965"/>
      <c r="AF30" s="42">
        <v>19</v>
      </c>
    </row>
    <row r="31" ht="11.55" customHeight="1" spans="4:32">
      <c r="D31" s="519"/>
      <c r="E31" s="998">
        <f>FHD_NUM_P_2</f>
        <v>2</v>
      </c>
      <c r="F31" s="392" t="str">
        <f>FHD_P_2</f>
        <v>Себестоимость производимых товаров (оказываемых услуг) по регулируемым видам деятельности в сфере холодного водоснабжения, включая:</v>
      </c>
      <c r="G31" s="63" t="s">
        <v>562</v>
      </c>
      <c r="H31" s="390">
        <f>SUMIF($K33:$K71,$K31,H33:H71)</f>
        <v>0</v>
      </c>
      <c r="I31" s="390">
        <f>SUMIF($K33:$K71,$K31,I33:I71)</f>
        <v>0</v>
      </c>
      <c r="J31" s="82" t="str">
        <f>FHD_NOTE_P_2</f>
        <v>Указывается суммарная себестоимость производимых товаров.</v>
      </c>
      <c r="K31" s="43" t="s">
        <v>577</v>
      </c>
      <c r="AF31" s="42">
        <v>11</v>
      </c>
    </row>
    <row r="32" ht="11.55" customHeight="1" spans="4:32">
      <c r="D32" s="519"/>
      <c r="E32" s="998" t="str">
        <f>FHD_NUM_P_3</f>
        <v>2.1</v>
      </c>
      <c r="F32" s="666" t="str">
        <f>FHD_P_3</f>
        <v>Расходы на оплату холодной воды, приобретаемой у других организаций для последующей подачи потребителям</v>
      </c>
      <c r="G32" s="63" t="s">
        <v>562</v>
      </c>
      <c r="H32" s="916"/>
      <c r="I32" s="916"/>
      <c r="J32" s="82" t="str">
        <f>FHD_NOTE_P_3</f>
        <v/>
      </c>
      <c r="K32" s="43" t="str">
        <f t="shared" ref="K32:K70" si="0">IF((LEN(E32)-LEN(SUBSTITUTE(E32,".","")))/LEN(".")=1,"p","")</f>
        <v>p</v>
      </c>
      <c r="AF32" s="42">
        <v>11</v>
      </c>
    </row>
    <row r="33" hidden="1" customHeight="1" spans="1:32">
      <c r="A33" s="1004" t="s">
        <v>578</v>
      </c>
      <c r="D33" s="519"/>
      <c r="E33" s="998" t="str">
        <f>FHD_NUM_P_4</f>
        <v/>
      </c>
      <c r="F33" s="666" t="str">
        <f>FHD_P_4</f>
        <v/>
      </c>
      <c r="G33" s="63" t="s">
        <v>562</v>
      </c>
      <c r="H33" s="390">
        <f>SUMIF($F34:$F40,$F3,H34:H40)</f>
        <v>0</v>
      </c>
      <c r="I33" s="390">
        <f>SUMIF($F34:$F40,$F3,I34:I40)</f>
        <v>0</v>
      </c>
      <c r="J33" s="82" t="str">
        <f>FHD_NOTE_P_4</f>
        <v/>
      </c>
      <c r="K33" s="43" t="str">
        <f t="shared" si="0"/>
        <v/>
      </c>
      <c r="AF33" s="42">
        <v>0</v>
      </c>
    </row>
    <row r="34" s="36" customFormat="1" ht="0.75" hidden="1" customHeight="1" spans="1:32">
      <c r="A34" s="1004"/>
      <c r="B34" s="987" t="str">
        <f>E33&amp;".0"</f>
        <v>.0</v>
      </c>
      <c r="C34" s="306"/>
      <c r="D34" s="988"/>
      <c r="E34" s="1005"/>
      <c r="F34" s="1006"/>
      <c r="G34" s="1007"/>
      <c r="H34" s="1008"/>
      <c r="I34" s="1008"/>
      <c r="J34" s="1015"/>
      <c r="K34" s="43" t="str">
        <f t="shared" si="0"/>
        <v/>
      </c>
      <c r="L34" s="43"/>
      <c r="M34" s="43"/>
      <c r="N34" s="43"/>
      <c r="O34" s="43"/>
      <c r="P34" s="43"/>
      <c r="Q34" s="43"/>
      <c r="R34" s="43"/>
      <c r="S34" s="43"/>
      <c r="T34" s="43"/>
      <c r="U34" s="1016"/>
      <c r="V34" s="43"/>
      <c r="W34" s="43"/>
      <c r="X34" s="43"/>
      <c r="Y34" s="43"/>
      <c r="Z34" s="43"/>
      <c r="AA34" s="963"/>
      <c r="AB34" s="963"/>
      <c r="AC34" s="963"/>
      <c r="AD34" s="963"/>
      <c r="AE34" s="963"/>
      <c r="AF34" s="36">
        <v>0</v>
      </c>
    </row>
    <row r="35" s="36" customFormat="1" ht="0.75" hidden="1" customHeight="1" spans="1:32">
      <c r="A35" s="1004"/>
      <c r="B35" s="987"/>
      <c r="C35" s="306"/>
      <c r="D35" s="988"/>
      <c r="E35" s="1009"/>
      <c r="F35" s="1010"/>
      <c r="G35" s="1007"/>
      <c r="H35" s="1011"/>
      <c r="I35" s="1011"/>
      <c r="J35" s="1015"/>
      <c r="K35" s="43" t="str">
        <f t="shared" si="0"/>
        <v/>
      </c>
      <c r="L35" s="43"/>
      <c r="M35" s="43"/>
      <c r="N35" s="43"/>
      <c r="O35" s="43"/>
      <c r="P35" s="43"/>
      <c r="Q35" s="43"/>
      <c r="R35" s="43"/>
      <c r="S35" s="43"/>
      <c r="T35" s="43"/>
      <c r="U35" s="1016"/>
      <c r="V35" s="43"/>
      <c r="W35" s="43"/>
      <c r="X35" s="43"/>
      <c r="Y35" s="43"/>
      <c r="Z35" s="43"/>
      <c r="AA35" s="963"/>
      <c r="AB35" s="963"/>
      <c r="AC35" s="963"/>
      <c r="AD35" s="963"/>
      <c r="AE35" s="963"/>
      <c r="AF35" s="36">
        <v>0</v>
      </c>
    </row>
    <row r="36" s="36" customFormat="1" ht="0.75" hidden="1" customHeight="1" spans="1:32">
      <c r="A36" s="1004"/>
      <c r="B36" s="987"/>
      <c r="C36" s="306"/>
      <c r="D36" s="988"/>
      <c r="E36" s="1009"/>
      <c r="F36" s="1010"/>
      <c r="G36" s="1007"/>
      <c r="H36" s="1011"/>
      <c r="I36" s="1011"/>
      <c r="J36" s="1015"/>
      <c r="K36" s="43" t="str">
        <f t="shared" si="0"/>
        <v/>
      </c>
      <c r="L36" s="43"/>
      <c r="M36" s="43"/>
      <c r="N36" s="43"/>
      <c r="O36" s="43"/>
      <c r="P36" s="43"/>
      <c r="Q36" s="43"/>
      <c r="R36" s="43"/>
      <c r="S36" s="43"/>
      <c r="T36" s="43"/>
      <c r="U36" s="1016"/>
      <c r="V36" s="43"/>
      <c r="W36" s="43"/>
      <c r="X36" s="43"/>
      <c r="Y36" s="43"/>
      <c r="Z36" s="43"/>
      <c r="AA36" s="963"/>
      <c r="AB36" s="963"/>
      <c r="AC36" s="963"/>
      <c r="AD36" s="963"/>
      <c r="AE36" s="963"/>
      <c r="AF36" s="36">
        <v>0</v>
      </c>
    </row>
    <row r="37" s="36" customFormat="1" ht="0.75" hidden="1" customHeight="1" spans="1:32">
      <c r="A37" s="1004"/>
      <c r="B37" s="987"/>
      <c r="C37" s="306"/>
      <c r="D37" s="988"/>
      <c r="E37" s="1009"/>
      <c r="F37" s="1010"/>
      <c r="G37" s="1007"/>
      <c r="H37" s="1011"/>
      <c r="I37" s="1011"/>
      <c r="J37" s="1015"/>
      <c r="K37" s="43" t="str">
        <f t="shared" si="0"/>
        <v/>
      </c>
      <c r="L37" s="43"/>
      <c r="M37" s="43"/>
      <c r="N37" s="43"/>
      <c r="O37" s="43"/>
      <c r="P37" s="43"/>
      <c r="Q37" s="43"/>
      <c r="R37" s="43"/>
      <c r="S37" s="43"/>
      <c r="T37" s="43"/>
      <c r="U37" s="1016"/>
      <c r="V37" s="43"/>
      <c r="W37" s="43"/>
      <c r="X37" s="43"/>
      <c r="Y37" s="43"/>
      <c r="Z37" s="43"/>
      <c r="AA37" s="963"/>
      <c r="AB37" s="963"/>
      <c r="AC37" s="963"/>
      <c r="AD37" s="963"/>
      <c r="AE37" s="963"/>
      <c r="AF37" s="36">
        <v>0</v>
      </c>
    </row>
    <row r="38" s="36" customFormat="1" ht="0.75" hidden="1" customHeight="1" spans="1:32">
      <c r="A38" s="1004"/>
      <c r="B38" s="987"/>
      <c r="C38" s="306"/>
      <c r="D38" s="988"/>
      <c r="E38" s="1009"/>
      <c r="F38" s="1010"/>
      <c r="G38" s="1007"/>
      <c r="H38" s="1011"/>
      <c r="I38" s="1011"/>
      <c r="J38" s="1015"/>
      <c r="K38" s="43" t="str">
        <f t="shared" si="0"/>
        <v/>
      </c>
      <c r="L38" s="43"/>
      <c r="M38" s="43"/>
      <c r="N38" s="43"/>
      <c r="O38" s="43"/>
      <c r="P38" s="43"/>
      <c r="Q38" s="43"/>
      <c r="R38" s="43"/>
      <c r="S38" s="43"/>
      <c r="T38" s="43"/>
      <c r="U38" s="1016"/>
      <c r="V38" s="43"/>
      <c r="W38" s="43"/>
      <c r="X38" s="43"/>
      <c r="Y38" s="43"/>
      <c r="Z38" s="43"/>
      <c r="AA38" s="963"/>
      <c r="AB38" s="963"/>
      <c r="AC38" s="963"/>
      <c r="AD38" s="963"/>
      <c r="AE38" s="963"/>
      <c r="AF38" s="36">
        <v>0</v>
      </c>
    </row>
    <row r="39" s="36" customFormat="1" ht="0.75" hidden="1" customHeight="1" spans="1:32">
      <c r="A39" s="1004"/>
      <c r="B39" s="987"/>
      <c r="C39" s="306"/>
      <c r="D39" s="988"/>
      <c r="E39" s="1009"/>
      <c r="F39" s="1010"/>
      <c r="G39" s="1007"/>
      <c r="H39" s="1008"/>
      <c r="I39" s="1008"/>
      <c r="J39" s="1015"/>
      <c r="K39" s="43" t="str">
        <f t="shared" si="0"/>
        <v/>
      </c>
      <c r="L39" s="43"/>
      <c r="M39" s="43"/>
      <c r="N39" s="43"/>
      <c r="O39" s="43"/>
      <c r="P39" s="43"/>
      <c r="Q39" s="43"/>
      <c r="R39" s="43"/>
      <c r="S39" s="43"/>
      <c r="T39" s="43"/>
      <c r="U39" s="1016"/>
      <c r="V39" s="43"/>
      <c r="W39" s="43"/>
      <c r="X39" s="43"/>
      <c r="Y39" s="43"/>
      <c r="Z39" s="43"/>
      <c r="AA39" s="963"/>
      <c r="AB39" s="963"/>
      <c r="AC39" s="963"/>
      <c r="AD39" s="963"/>
      <c r="AE39" s="963"/>
      <c r="AF39" s="36">
        <v>0</v>
      </c>
    </row>
    <row r="40" s="37" customFormat="1" ht="15" hidden="1" customHeight="1" spans="1:32">
      <c r="A40" s="1004"/>
      <c r="C40" s="43"/>
      <c r="D40" s="216"/>
      <c r="E40" s="959"/>
      <c r="F40" s="775" t="s">
        <v>579</v>
      </c>
      <c r="G40" s="401"/>
      <c r="H40" s="909"/>
      <c r="I40" s="909"/>
      <c r="J40" s="66"/>
      <c r="K40" s="43" t="str">
        <f t="shared" si="0"/>
        <v/>
      </c>
      <c r="L40" s="43"/>
      <c r="M40" s="43"/>
      <c r="R40" s="43"/>
      <c r="U40" s="947"/>
      <c r="AA40" s="572"/>
      <c r="AB40" s="572"/>
      <c r="AC40" s="572"/>
      <c r="AD40" s="572"/>
      <c r="AE40" s="572"/>
      <c r="AF40" s="37">
        <v>0</v>
      </c>
    </row>
    <row r="41" hidden="1" customHeight="1" spans="1:32">
      <c r="A41" s="1004" t="s">
        <v>580</v>
      </c>
      <c r="D41" s="519"/>
      <c r="E41" s="998" t="str">
        <f>FHD_NUM_P_5</f>
        <v/>
      </c>
      <c r="F41" s="666" t="str">
        <f>FHD_P_5</f>
        <v/>
      </c>
      <c r="G41" s="63" t="s">
        <v>562</v>
      </c>
      <c r="H41" s="916"/>
      <c r="I41" s="916"/>
      <c r="J41" s="82" t="str">
        <f>FHD_NOTE_P_5</f>
        <v/>
      </c>
      <c r="K41" s="43" t="str">
        <f t="shared" si="0"/>
        <v/>
      </c>
      <c r="AF41" s="42">
        <v>0</v>
      </c>
    </row>
    <row r="42" hidden="1" customHeight="1" spans="1:32">
      <c r="A42" s="1004"/>
      <c r="D42" s="519"/>
      <c r="E42" s="998" t="str">
        <f>FHD_NUM_P_6</f>
        <v/>
      </c>
      <c r="F42" s="666" t="str">
        <f>FHD_P_6</f>
        <v/>
      </c>
      <c r="G42" s="63" t="s">
        <v>562</v>
      </c>
      <c r="H42" s="916"/>
      <c r="I42" s="916"/>
      <c r="J42" s="82" t="str">
        <f>FHD_NOTE_P_6</f>
        <v/>
      </c>
      <c r="K42" s="43" t="str">
        <f t="shared" si="0"/>
        <v/>
      </c>
      <c r="AF42" s="42">
        <v>0</v>
      </c>
    </row>
    <row r="43" hidden="1" customHeight="1" spans="1:32">
      <c r="A43" s="1004"/>
      <c r="D43" s="519"/>
      <c r="E43" s="998" t="str">
        <f>FHD_NUM_P_7</f>
        <v/>
      </c>
      <c r="F43" s="666" t="str">
        <f>FHD_P_7</f>
        <v/>
      </c>
      <c r="G43" s="63" t="s">
        <v>562</v>
      </c>
      <c r="H43" s="916"/>
      <c r="I43" s="916"/>
      <c r="J43" s="82" t="str">
        <f>FHD_NOTE_P_7</f>
        <v/>
      </c>
      <c r="K43" s="43" t="str">
        <f t="shared" si="0"/>
        <v/>
      </c>
      <c r="AF43" s="42">
        <v>0</v>
      </c>
    </row>
    <row r="44" ht="11.55" customHeight="1" spans="4:32">
      <c r="D44" s="519"/>
      <c r="E44" s="998" t="str">
        <f>FHD_NUM_P_8</f>
        <v>2.2</v>
      </c>
      <c r="F44" s="666" t="str">
        <f>FHD_P_8</f>
        <v>Расходы на приобретаемую электрическую энергию (мощность), используемую в технологическом процессе</v>
      </c>
      <c r="G44" s="63" t="s">
        <v>562</v>
      </c>
      <c r="H44" s="916"/>
      <c r="I44" s="916"/>
      <c r="J44" s="82" t="str">
        <f>FHD_NOTE_P_8</f>
        <v/>
      </c>
      <c r="K44" s="43" t="str">
        <f t="shared" si="0"/>
        <v>p</v>
      </c>
      <c r="AF44" s="42">
        <v>11</v>
      </c>
    </row>
    <row r="45" ht="11.55" customHeight="1" spans="4:32">
      <c r="D45" s="519"/>
      <c r="E45" s="998" t="str">
        <f>FHD_NUM_P_9</f>
        <v>2.2.1</v>
      </c>
      <c r="F45" s="918" t="str">
        <f>FHD_P_9</f>
        <v>Средневзвешенная стоимость 1 кВт.ч (с учетом мощности)</v>
      </c>
      <c r="G45" s="63" t="s">
        <v>581</v>
      </c>
      <c r="H45" s="916"/>
      <c r="I45" s="916"/>
      <c r="J45" s="82" t="str">
        <f>FHD_NOTE_P_9</f>
        <v/>
      </c>
      <c r="K45" s="43" t="str">
        <f t="shared" si="0"/>
        <v/>
      </c>
      <c r="AF45" s="42">
        <v>11</v>
      </c>
    </row>
    <row r="46" s="37" customFormat="1" ht="11.55" customHeight="1" spans="1:32">
      <c r="A46" s="946"/>
      <c r="C46" s="43"/>
      <c r="D46" s="1012"/>
      <c r="E46" s="998" t="str">
        <f>FHD_NUM_P_10</f>
        <v>2.2.2</v>
      </c>
      <c r="F46" s="918" t="str">
        <f>FHD_P_10</f>
        <v>Объём приобретения электрической энергии</v>
      </c>
      <c r="G46" s="63" t="s">
        <v>582</v>
      </c>
      <c r="H46" s="916"/>
      <c r="I46" s="916"/>
      <c r="J46" s="82" t="str">
        <f>FHD_NOTE_P_10</f>
        <v/>
      </c>
      <c r="K46" s="43" t="str">
        <f t="shared" si="0"/>
        <v/>
      </c>
      <c r="L46" s="43"/>
      <c r="M46" s="43"/>
      <c r="R46" s="43"/>
      <c r="U46" s="947"/>
      <c r="AA46" s="572"/>
      <c r="AB46" s="572"/>
      <c r="AC46" s="572"/>
      <c r="AD46" s="572"/>
      <c r="AE46" s="572"/>
      <c r="AF46" s="37">
        <v>11</v>
      </c>
    </row>
    <row r="47" s="37" customFormat="1" hidden="1" customHeight="1" spans="1:32">
      <c r="A47" s="971" t="s">
        <v>583</v>
      </c>
      <c r="C47" s="43"/>
      <c r="D47" s="961"/>
      <c r="E47" s="998" t="str">
        <f>FHD_NUM_P_11</f>
        <v/>
      </c>
      <c r="F47" s="666" t="str">
        <f>FHD_P_11</f>
        <v/>
      </c>
      <c r="G47" s="63" t="s">
        <v>562</v>
      </c>
      <c r="H47" s="916"/>
      <c r="I47" s="916"/>
      <c r="J47" s="82" t="str">
        <f>FHD_NOTE_P_11</f>
        <v/>
      </c>
      <c r="K47" s="43" t="str">
        <f t="shared" si="0"/>
        <v/>
      </c>
      <c r="L47" s="43"/>
      <c r="M47" s="43"/>
      <c r="R47" s="43"/>
      <c r="U47" s="947"/>
      <c r="AA47" s="572"/>
      <c r="AB47" s="572"/>
      <c r="AC47" s="572"/>
      <c r="AD47" s="572"/>
      <c r="AE47" s="572"/>
      <c r="AF47" s="37">
        <v>0</v>
      </c>
    </row>
    <row r="48" s="37" customFormat="1" ht="18.75" customHeight="1" spans="1:32">
      <c r="A48" s="971" t="s">
        <v>584</v>
      </c>
      <c r="C48" s="43"/>
      <c r="D48" s="519"/>
      <c r="E48" s="998" t="str">
        <f>FHD_NUM_P_12</f>
        <v>2.3</v>
      </c>
      <c r="F48" s="666" t="str">
        <f>FHD_P_12</f>
        <v>Расходы на химические реагенты, используемые в технологическом процессе</v>
      </c>
      <c r="G48" s="63" t="s">
        <v>562</v>
      </c>
      <c r="H48" s="972"/>
      <c r="I48" s="972"/>
      <c r="J48" s="82" t="str">
        <f>FHD_NOTE_P_12</f>
        <v/>
      </c>
      <c r="K48" s="43" t="str">
        <f t="shared" si="0"/>
        <v>p</v>
      </c>
      <c r="L48" s="43"/>
      <c r="M48" s="43"/>
      <c r="R48" s="43"/>
      <c r="U48" s="947"/>
      <c r="AA48" s="572"/>
      <c r="AB48" s="572"/>
      <c r="AC48" s="572"/>
      <c r="AD48" s="572"/>
      <c r="AE48" s="572"/>
      <c r="AF48" s="37">
        <v>18</v>
      </c>
    </row>
    <row r="49" s="46" customFormat="1" ht="11.55" customHeight="1" spans="1:32">
      <c r="A49" s="1013"/>
      <c r="C49" s="282"/>
      <c r="D49" s="518"/>
      <c r="E49" s="998" t="str">
        <f>FHD_NUM_P_13</f>
        <v>2.4</v>
      </c>
      <c r="F49" s="66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63" t="s">
        <v>562</v>
      </c>
      <c r="H49" s="916"/>
      <c r="I49" s="916"/>
      <c r="J49" s="82" t="str">
        <f>FHD_NOTE_P_13</f>
        <v>Указывается общая сумма расходов на оплату труда и отчислений на социальные нужды основного производственного персонала.</v>
      </c>
      <c r="K49" s="43" t="str">
        <f t="shared" si="0"/>
        <v>p</v>
      </c>
      <c r="L49" s="282"/>
      <c r="M49" s="282"/>
      <c r="R49" s="282"/>
      <c r="U49" s="1017"/>
      <c r="AA49" s="1018"/>
      <c r="AB49" s="1018"/>
      <c r="AC49" s="1018"/>
      <c r="AD49" s="1018"/>
      <c r="AE49" s="1018"/>
      <c r="AF49" s="46">
        <v>11</v>
      </c>
    </row>
    <row r="50" s="46" customFormat="1" ht="11.55" customHeight="1" spans="1:32">
      <c r="A50" s="1013"/>
      <c r="C50" s="282"/>
      <c r="D50" s="518"/>
      <c r="E50" s="998" t="str">
        <f>FHD_NUM_P_14</f>
        <v>2.4.1</v>
      </c>
      <c r="F50" s="918" t="str">
        <f>FHD_P_14</f>
        <v>Расходы на оплату труда основного производственного персонала</v>
      </c>
      <c r="G50" s="63" t="s">
        <v>562</v>
      </c>
      <c r="H50" s="916"/>
      <c r="I50" s="916"/>
      <c r="J50" s="82" t="str">
        <f>FHD_NOTE_P_14</f>
        <v/>
      </c>
      <c r="K50" s="43" t="str">
        <f t="shared" si="0"/>
        <v/>
      </c>
      <c r="L50" s="282"/>
      <c r="M50" s="282"/>
      <c r="R50" s="282"/>
      <c r="U50" s="1017"/>
      <c r="AA50" s="1018"/>
      <c r="AB50" s="1018"/>
      <c r="AC50" s="1018"/>
      <c r="AD50" s="1018"/>
      <c r="AE50" s="1018"/>
      <c r="AF50" s="46">
        <v>11</v>
      </c>
    </row>
    <row r="51" s="46" customFormat="1" ht="11.55" customHeight="1" spans="1:32">
      <c r="A51" s="1013"/>
      <c r="C51" s="282"/>
      <c r="D51" s="518"/>
      <c r="E51" s="998" t="str">
        <f>FHD_NUM_P_15</f>
        <v>2.4.2</v>
      </c>
      <c r="F51" s="918" t="str">
        <f>FHD_P_15</f>
        <v>Страховые взносы на обязательное социальное страхование, выплачиваемые из фонда оплаты труда основного производственного персонала</v>
      </c>
      <c r="G51" s="63" t="s">
        <v>562</v>
      </c>
      <c r="H51" s="916"/>
      <c r="I51" s="916"/>
      <c r="J51" s="82" t="str">
        <f>FHD_NOTE_P_15</f>
        <v/>
      </c>
      <c r="K51" s="43" t="str">
        <f t="shared" si="0"/>
        <v/>
      </c>
      <c r="L51" s="282"/>
      <c r="M51" s="282"/>
      <c r="R51" s="282"/>
      <c r="U51" s="1017"/>
      <c r="AA51" s="1018"/>
      <c r="AB51" s="1018"/>
      <c r="AC51" s="1018"/>
      <c r="AD51" s="1018"/>
      <c r="AE51" s="1018"/>
      <c r="AF51" s="46">
        <v>11</v>
      </c>
    </row>
    <row r="52" s="37" customFormat="1" ht="11.55" customHeight="1" spans="1:32">
      <c r="A52" s="946"/>
      <c r="C52" s="43"/>
      <c r="D52" s="519"/>
      <c r="E52" s="998" t="str">
        <f>FHD_NUM_P_16</f>
        <v>2.5</v>
      </c>
      <c r="F52" s="66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63" t="s">
        <v>562</v>
      </c>
      <c r="H52" s="916"/>
      <c r="I52" s="916"/>
      <c r="J52" s="82" t="str">
        <f>FHD_NOTE_P_16</f>
        <v>Указывается общая сумма расходов на оплату труда и отчислений на социальные нужды административно-управленческого персонала.</v>
      </c>
      <c r="K52" s="43" t="str">
        <f t="shared" si="0"/>
        <v>p</v>
      </c>
      <c r="L52" s="43"/>
      <c r="M52" s="43"/>
      <c r="R52" s="43"/>
      <c r="U52" s="947"/>
      <c r="AA52" s="572"/>
      <c r="AB52" s="572"/>
      <c r="AC52" s="572"/>
      <c r="AD52" s="572"/>
      <c r="AE52" s="572"/>
      <c r="AF52" s="37">
        <v>11</v>
      </c>
    </row>
    <row r="53" s="37" customFormat="1" ht="11.55" customHeight="1" spans="1:32">
      <c r="A53" s="946"/>
      <c r="C53" s="43"/>
      <c r="D53" s="519"/>
      <c r="E53" s="998" t="str">
        <f>FHD_NUM_P_17</f>
        <v>2.5.1</v>
      </c>
      <c r="F53" s="918" t="str">
        <f>FHD_P_17</f>
        <v>Расходы на оплату труда административно-управленческого персонала</v>
      </c>
      <c r="G53" s="63" t="s">
        <v>562</v>
      </c>
      <c r="H53" s="916"/>
      <c r="I53" s="916"/>
      <c r="J53" s="82" t="str">
        <f>FHD_NOTE_P_17</f>
        <v/>
      </c>
      <c r="K53" s="43" t="str">
        <f t="shared" si="0"/>
        <v/>
      </c>
      <c r="L53" s="43"/>
      <c r="M53" s="43"/>
      <c r="R53" s="43"/>
      <c r="U53" s="947"/>
      <c r="AA53" s="572"/>
      <c r="AB53" s="572"/>
      <c r="AC53" s="572"/>
      <c r="AD53" s="572"/>
      <c r="AE53" s="572"/>
      <c r="AF53" s="37">
        <v>11</v>
      </c>
    </row>
    <row r="54" s="37" customFormat="1" ht="11.55" customHeight="1" spans="1:32">
      <c r="A54" s="946"/>
      <c r="C54" s="43"/>
      <c r="D54" s="519"/>
      <c r="E54" s="998" t="str">
        <f>FHD_NUM_P_18</f>
        <v>2.5.2</v>
      </c>
      <c r="F54" s="91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63" t="s">
        <v>562</v>
      </c>
      <c r="H54" s="916"/>
      <c r="I54" s="916"/>
      <c r="J54" s="82" t="str">
        <f>FHD_NOTE_P_18</f>
        <v/>
      </c>
      <c r="K54" s="43" t="str">
        <f t="shared" si="0"/>
        <v/>
      </c>
      <c r="L54" s="43"/>
      <c r="M54" s="43"/>
      <c r="R54" s="43"/>
      <c r="U54" s="947"/>
      <c r="AA54" s="572"/>
      <c r="AB54" s="572"/>
      <c r="AC54" s="572"/>
      <c r="AD54" s="572"/>
      <c r="AE54" s="572"/>
      <c r="AF54" s="37">
        <v>11</v>
      </c>
    </row>
    <row r="55" s="37" customFormat="1" ht="11.55" customHeight="1" spans="1:32">
      <c r="A55" s="946"/>
      <c r="C55" s="43"/>
      <c r="D55" s="961"/>
      <c r="E55" s="998" t="str">
        <f>FHD_NUM_P_19</f>
        <v>2.6</v>
      </c>
      <c r="F55" s="666" t="str">
        <f>FHD_P_19</f>
        <v>Расходы на амортизацию основных средств и нематериальных активов</v>
      </c>
      <c r="G55" s="63" t="s">
        <v>562</v>
      </c>
      <c r="H55" s="916"/>
      <c r="I55" s="916"/>
      <c r="J55" s="82" t="str">
        <f>FHD_NOTE_P_19</f>
        <v/>
      </c>
      <c r="K55" s="43" t="str">
        <f t="shared" si="0"/>
        <v>p</v>
      </c>
      <c r="L55" s="43"/>
      <c r="M55" s="43"/>
      <c r="R55" s="43"/>
      <c r="U55" s="947"/>
      <c r="AA55" s="572"/>
      <c r="AB55" s="572"/>
      <c r="AC55" s="572"/>
      <c r="AD55" s="572"/>
      <c r="AE55" s="572"/>
      <c r="AF55" s="37">
        <v>11</v>
      </c>
    </row>
    <row r="56" s="37" customFormat="1" ht="11.55" customHeight="1" spans="1:32">
      <c r="A56" s="946"/>
      <c r="C56" s="43"/>
      <c r="D56" s="961"/>
      <c r="E56" s="998" t="str">
        <f>FHD_NUM_P_20</f>
        <v>2.6.1</v>
      </c>
      <c r="F56" s="918" t="str">
        <f>FHD_P_20</f>
        <v>Расходы на амортизацию основных средств</v>
      </c>
      <c r="G56" s="63" t="s">
        <v>562</v>
      </c>
      <c r="H56" s="916"/>
      <c r="I56" s="916"/>
      <c r="J56" s="82" t="str">
        <f>FHD_NOTE_P_20</f>
        <v/>
      </c>
      <c r="K56" s="43" t="str">
        <f t="shared" si="0"/>
        <v/>
      </c>
      <c r="L56" s="43"/>
      <c r="M56" s="43"/>
      <c r="R56" s="43"/>
      <c r="U56" s="947"/>
      <c r="AA56" s="572"/>
      <c r="AB56" s="572"/>
      <c r="AC56" s="572"/>
      <c r="AD56" s="572"/>
      <c r="AE56" s="572"/>
      <c r="AF56" s="37">
        <v>11</v>
      </c>
    </row>
    <row r="57" s="37" customFormat="1" ht="11.55" customHeight="1" spans="1:32">
      <c r="A57" s="946"/>
      <c r="C57" s="43"/>
      <c r="D57" s="961"/>
      <c r="E57" s="998" t="str">
        <f>FHD_NUM_P_21</f>
        <v>2.6.2</v>
      </c>
      <c r="F57" s="918" t="str">
        <f>FHD_P_21</f>
        <v>Расходы на амортизацию нематериальных активов</v>
      </c>
      <c r="G57" s="63" t="s">
        <v>562</v>
      </c>
      <c r="H57" s="916"/>
      <c r="I57" s="916"/>
      <c r="J57" s="82" t="str">
        <f>FHD_NOTE_P_21</f>
        <v/>
      </c>
      <c r="K57" s="43" t="str">
        <f t="shared" si="0"/>
        <v/>
      </c>
      <c r="L57" s="43"/>
      <c r="M57" s="43"/>
      <c r="R57" s="43"/>
      <c r="U57" s="947"/>
      <c r="AA57" s="572"/>
      <c r="AB57" s="572"/>
      <c r="AC57" s="572"/>
      <c r="AD57" s="572"/>
      <c r="AE57" s="572"/>
      <c r="AF57" s="37">
        <v>11</v>
      </c>
    </row>
    <row r="58" s="37" customFormat="1" ht="11.55" customHeight="1" spans="1:32">
      <c r="A58" s="946"/>
      <c r="C58" s="43"/>
      <c r="D58" s="519"/>
      <c r="E58" s="998" t="str">
        <f>FHD_NUM_P_22</f>
        <v>2.7</v>
      </c>
      <c r="F58" s="666" t="str">
        <f>FHD_P_22</f>
        <v>Расходы на аренду имущества, используемого для осуществления регулируемых видов деятельности в сфере холодного водоснабжения</v>
      </c>
      <c r="G58" s="63" t="s">
        <v>562</v>
      </c>
      <c r="H58" s="916"/>
      <c r="I58" s="916"/>
      <c r="J58" s="82" t="str">
        <f>FHD_NOTE_P_22</f>
        <v/>
      </c>
      <c r="K58" s="43" t="str">
        <f t="shared" si="0"/>
        <v>p</v>
      </c>
      <c r="L58" s="43"/>
      <c r="M58" s="43"/>
      <c r="R58" s="43"/>
      <c r="U58" s="947"/>
      <c r="AA58" s="572"/>
      <c r="AB58" s="572"/>
      <c r="AC58" s="572"/>
      <c r="AD58" s="572"/>
      <c r="AE58" s="572"/>
      <c r="AF58" s="37">
        <v>11</v>
      </c>
    </row>
    <row r="59" s="37" customFormat="1" ht="11.55" customHeight="1" spans="1:32">
      <c r="A59" s="946"/>
      <c r="C59" s="43"/>
      <c r="D59" s="961"/>
      <c r="E59" s="998" t="str">
        <f>FHD_NUM_P_23</f>
        <v>2.8</v>
      </c>
      <c r="F59" s="666" t="str">
        <f>FHD_P_23</f>
        <v>Общепроизводственные расходы, в том числе:</v>
      </c>
      <c r="G59" s="63" t="s">
        <v>562</v>
      </c>
      <c r="H59" s="916"/>
      <c r="I59" s="916"/>
      <c r="J59" s="82" t="str">
        <f>FHD_NOTE_P_23</f>
        <v>Указывается общая сумма общепроизводственных расходов.</v>
      </c>
      <c r="K59" s="43" t="str">
        <f t="shared" si="0"/>
        <v>p</v>
      </c>
      <c r="L59" s="43"/>
      <c r="M59" s="43"/>
      <c r="R59" s="43"/>
      <c r="U59" s="947"/>
      <c r="AA59" s="572"/>
      <c r="AB59" s="572"/>
      <c r="AC59" s="572"/>
      <c r="AD59" s="572"/>
      <c r="AE59" s="572"/>
      <c r="AF59" s="37">
        <v>11</v>
      </c>
    </row>
    <row r="60" s="37" customFormat="1" ht="11.55" customHeight="1" spans="1:32">
      <c r="A60" s="946"/>
      <c r="C60" s="43"/>
      <c r="D60" s="961"/>
      <c r="E60" s="998" t="str">
        <f>FHD_NUM_P_24</f>
        <v>2.8.1</v>
      </c>
      <c r="F60" s="918" t="str">
        <f>FHD_P_24</f>
        <v>Расходы на текущий ремонт</v>
      </c>
      <c r="G60" s="63" t="s">
        <v>562</v>
      </c>
      <c r="H60" s="916"/>
      <c r="I60" s="916"/>
      <c r="J60" s="82" t="str">
        <f>FHD_NOTE_P_24</f>
        <v>Указываются расходы на текущий ремонт, отнесенные к общепроизводственным расходам.</v>
      </c>
      <c r="K60" s="43" t="str">
        <f t="shared" si="0"/>
        <v/>
      </c>
      <c r="L60" s="43"/>
      <c r="M60" s="43"/>
      <c r="R60" s="43"/>
      <c r="U60" s="947"/>
      <c r="AA60" s="572"/>
      <c r="AB60" s="572"/>
      <c r="AC60" s="572"/>
      <c r="AD60" s="572"/>
      <c r="AE60" s="572"/>
      <c r="AF60" s="37">
        <v>11</v>
      </c>
    </row>
    <row r="61" s="37" customFormat="1" ht="11.55" customHeight="1" spans="1:32">
      <c r="A61" s="946"/>
      <c r="C61" s="43"/>
      <c r="D61" s="961"/>
      <c r="E61" s="998" t="str">
        <f>FHD_NUM_P_25</f>
        <v>2.8.2</v>
      </c>
      <c r="F61" s="918" t="str">
        <f>FHD_P_25</f>
        <v>Расходы на капитальный ремонт</v>
      </c>
      <c r="G61" s="63" t="s">
        <v>562</v>
      </c>
      <c r="H61" s="916"/>
      <c r="I61" s="916"/>
      <c r="J61" s="82" t="str">
        <f>FHD_NOTE_P_25</f>
        <v>Указываются расходы на капитальный ремонт, отнесенные к общепроизводственным расходам.</v>
      </c>
      <c r="K61" s="43" t="str">
        <f t="shared" si="0"/>
        <v/>
      </c>
      <c r="L61" s="43"/>
      <c r="M61" s="43"/>
      <c r="R61" s="43"/>
      <c r="U61" s="947"/>
      <c r="AA61" s="572"/>
      <c r="AB61" s="572"/>
      <c r="AC61" s="572"/>
      <c r="AD61" s="572"/>
      <c r="AE61" s="572"/>
      <c r="AF61" s="37">
        <v>11</v>
      </c>
    </row>
    <row r="62" s="37" customFormat="1" ht="11.55" customHeight="1" spans="1:32">
      <c r="A62" s="946"/>
      <c r="C62" s="43"/>
      <c r="D62" s="519"/>
      <c r="E62" s="998" t="str">
        <f>FHD_NUM_P_26</f>
        <v>2.9</v>
      </c>
      <c r="F62" s="666" t="str">
        <f>FHD_P_26</f>
        <v>Общехозяйственные расходы, в том числе:</v>
      </c>
      <c r="G62" s="63" t="s">
        <v>562</v>
      </c>
      <c r="H62" s="916"/>
      <c r="I62" s="916"/>
      <c r="J62" s="82" t="str">
        <f>FHD_NOTE_P_26</f>
        <v>Указывается общая сумма общехозяйственных расходов.</v>
      </c>
      <c r="K62" s="43" t="str">
        <f t="shared" si="0"/>
        <v>p</v>
      </c>
      <c r="L62" s="43"/>
      <c r="M62" s="43"/>
      <c r="R62" s="43"/>
      <c r="U62" s="947"/>
      <c r="AA62" s="572"/>
      <c r="AB62" s="572"/>
      <c r="AC62" s="572"/>
      <c r="AD62" s="572"/>
      <c r="AE62" s="572"/>
      <c r="AF62" s="37">
        <v>11</v>
      </c>
    </row>
    <row r="63" s="37" customFormat="1" ht="11.55" customHeight="1" spans="1:32">
      <c r="A63" s="946"/>
      <c r="C63" s="43"/>
      <c r="D63" s="519"/>
      <c r="E63" s="998" t="str">
        <f>FHD_NUM_P_27</f>
        <v>2.9.1</v>
      </c>
      <c r="F63" s="918" t="str">
        <f>FHD_P_27</f>
        <v>Расходы на текущий ремонт</v>
      </c>
      <c r="G63" s="63" t="s">
        <v>562</v>
      </c>
      <c r="H63" s="916"/>
      <c r="I63" s="916"/>
      <c r="J63" s="82" t="str">
        <f>FHD_NOTE_P_27</f>
        <v>Указываются расходы на текущий ремонт, отнесенные к общехозяйственным расходам.</v>
      </c>
      <c r="K63" s="43" t="str">
        <f t="shared" si="0"/>
        <v/>
      </c>
      <c r="L63" s="43"/>
      <c r="M63" s="43"/>
      <c r="R63" s="43"/>
      <c r="U63" s="947"/>
      <c r="AA63" s="572"/>
      <c r="AB63" s="572"/>
      <c r="AC63" s="572"/>
      <c r="AD63" s="572"/>
      <c r="AE63" s="572"/>
      <c r="AF63" s="37">
        <v>11</v>
      </c>
    </row>
    <row r="64" s="37" customFormat="1" ht="11.55" customHeight="1" spans="1:32">
      <c r="A64" s="946"/>
      <c r="C64" s="43"/>
      <c r="D64" s="519"/>
      <c r="E64" s="998" t="str">
        <f>FHD_NUM_P_28</f>
        <v>2.9.2</v>
      </c>
      <c r="F64" s="918" t="str">
        <f>FHD_P_28</f>
        <v>Расходы на капитальный ремонт</v>
      </c>
      <c r="G64" s="63" t="s">
        <v>562</v>
      </c>
      <c r="H64" s="916"/>
      <c r="I64" s="916"/>
      <c r="J64" s="82" t="str">
        <f>FHD_NOTE_P_28</f>
        <v>Указываются расходы на капитальный ремонт, отнесенные к общехозяйственным расходам.</v>
      </c>
      <c r="K64" s="43" t="str">
        <f t="shared" si="0"/>
        <v/>
      </c>
      <c r="L64" s="43"/>
      <c r="M64" s="43"/>
      <c r="R64" s="43"/>
      <c r="U64" s="947"/>
      <c r="AA64" s="572"/>
      <c r="AB64" s="572"/>
      <c r="AC64" s="572"/>
      <c r="AD64" s="572"/>
      <c r="AE64" s="572"/>
      <c r="AF64" s="37">
        <v>11</v>
      </c>
    </row>
    <row r="65" s="37" customFormat="1" ht="11.55" customHeight="1" spans="1:32">
      <c r="A65" s="946"/>
      <c r="C65" s="43"/>
      <c r="D65" s="519"/>
      <c r="E65" s="998" t="str">
        <f>FHD_NUM_P_29</f>
        <v>2.10</v>
      </c>
      <c r="F65" s="666" t="str">
        <f>FHD_P_29</f>
        <v>Расходы на капитальный и текущий ремонт основных средств</v>
      </c>
      <c r="G65" s="63" t="s">
        <v>562</v>
      </c>
      <c r="H65" s="916"/>
      <c r="I65" s="916"/>
      <c r="J65" s="82"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43" t="str">
        <f t="shared" si="0"/>
        <v>p</v>
      </c>
      <c r="L65" s="43"/>
      <c r="M65" s="43"/>
      <c r="R65" s="43"/>
      <c r="U65" s="947"/>
      <c r="AA65" s="572"/>
      <c r="AB65" s="572"/>
      <c r="AC65" s="572"/>
      <c r="AD65" s="572"/>
      <c r="AE65" s="572"/>
      <c r="AF65" s="37">
        <v>11</v>
      </c>
    </row>
    <row r="66" s="37" customFormat="1" ht="11.55" customHeight="1" spans="1:32">
      <c r="A66" s="946"/>
      <c r="C66" s="43"/>
      <c r="D66" s="519"/>
      <c r="E66" s="998" t="str">
        <f>FHD_NUM_P_30</f>
        <v>2.10.1</v>
      </c>
      <c r="F66" s="91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63" t="s">
        <v>311</v>
      </c>
      <c r="H66" s="374" t="s">
        <v>585</v>
      </c>
      <c r="I66" s="374" t="s">
        <v>585</v>
      </c>
      <c r="J66" s="82" t="str">
        <f>FHD_NOTE_P_30</f>
        <v/>
      </c>
      <c r="K66" s="43" t="str">
        <f t="shared" si="0"/>
        <v/>
      </c>
      <c r="L66" s="43">
        <f>IFERROR(MATCH("есть",B_FHD_FLAG_INDEX_1,0),0)</f>
        <v>0</v>
      </c>
      <c r="M66" s="43"/>
      <c r="R66" s="43"/>
      <c r="U66" s="947"/>
      <c r="AA66" s="572"/>
      <c r="AB66" s="572"/>
      <c r="AC66" s="572"/>
      <c r="AD66" s="572"/>
      <c r="AE66" s="572"/>
      <c r="AF66" s="37">
        <v>11</v>
      </c>
    </row>
    <row r="67" s="37" customFormat="1" ht="23.25" customHeight="1" spans="1:32">
      <c r="A67" s="1004" t="s">
        <v>586</v>
      </c>
      <c r="C67" s="43"/>
      <c r="D67" s="519"/>
      <c r="E67" s="998" t="str">
        <f>FHD_NUM_P_31</f>
        <v>2.11</v>
      </c>
      <c r="F67" s="666"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63" t="s">
        <v>562</v>
      </c>
      <c r="H67" s="916"/>
      <c r="I67" s="916"/>
      <c r="J67" s="82"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43" t="str">
        <f t="shared" si="0"/>
        <v>p</v>
      </c>
      <c r="L67" s="43"/>
      <c r="M67" s="43"/>
      <c r="R67" s="43"/>
      <c r="U67" s="947"/>
      <c r="AA67" s="572"/>
      <c r="AB67" s="572"/>
      <c r="AC67" s="572"/>
      <c r="AD67" s="572"/>
      <c r="AE67" s="572"/>
      <c r="AF67" s="37">
        <v>22</v>
      </c>
    </row>
    <row r="68" s="37" customFormat="1" ht="47.25" customHeight="1" spans="1:32">
      <c r="A68" s="1004"/>
      <c r="C68" s="43"/>
      <c r="D68" s="519"/>
      <c r="E68" s="998" t="str">
        <f>FHD_NUM_P_32</f>
        <v>2.11.1</v>
      </c>
      <c r="F68" s="91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63" t="s">
        <v>311</v>
      </c>
      <c r="H68" s="374" t="s">
        <v>585</v>
      </c>
      <c r="I68" s="374" t="s">
        <v>585</v>
      </c>
      <c r="J68" s="82" t="str">
        <f>FHD_NOTE_P_32</f>
        <v/>
      </c>
      <c r="K68" s="43" t="str">
        <f t="shared" si="0"/>
        <v/>
      </c>
      <c r="L68" s="43">
        <f>IFERROR(MATCH("есть",B_FHD_FLAG_INDEX_2,0),0)</f>
        <v>0</v>
      </c>
      <c r="M68" s="43"/>
      <c r="R68" s="43"/>
      <c r="U68" s="947"/>
      <c r="AA68" s="572"/>
      <c r="AB68" s="572"/>
      <c r="AC68" s="572"/>
      <c r="AD68" s="572"/>
      <c r="AE68" s="572"/>
      <c r="AF68" s="37">
        <v>45</v>
      </c>
    </row>
    <row r="69" s="37" customFormat="1" ht="11.55" customHeight="1" spans="1:32">
      <c r="A69" s="946"/>
      <c r="C69" s="43"/>
      <c r="D69" s="519"/>
      <c r="E69" s="998" t="str">
        <f>FHD_NUM_P_33</f>
        <v>2.12</v>
      </c>
      <c r="F69" s="666"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70" t="s">
        <v>562</v>
      </c>
      <c r="H69" s="956">
        <f>SUM(H70:H71)</f>
        <v>0</v>
      </c>
      <c r="I69" s="956">
        <f>SUM(I70:I71)</f>
        <v>0</v>
      </c>
      <c r="J69" s="82"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43" t="str">
        <f t="shared" si="0"/>
        <v>p</v>
      </c>
      <c r="L69" s="43"/>
      <c r="M69" s="43"/>
      <c r="R69" s="43"/>
      <c r="U69" s="947"/>
      <c r="AA69" s="572"/>
      <c r="AB69" s="572"/>
      <c r="AC69" s="572"/>
      <c r="AD69" s="572"/>
      <c r="AE69" s="572"/>
      <c r="AF69" s="37">
        <v>11</v>
      </c>
    </row>
    <row r="70" s="43" customFormat="1" ht="1.05" customHeight="1" spans="1:32">
      <c r="A70" s="306"/>
      <c r="D70" s="306"/>
      <c r="E70" s="672" t="str">
        <f>E69&amp;".0"</f>
        <v>2.12.0</v>
      </c>
      <c r="F70" s="957"/>
      <c r="G70" s="672"/>
      <c r="H70" s="958"/>
      <c r="I70" s="958"/>
      <c r="J70" s="966"/>
      <c r="K70" s="43" t="str">
        <f t="shared" si="0"/>
        <v/>
      </c>
      <c r="AF70" s="43">
        <v>1</v>
      </c>
    </row>
    <row r="71" s="37" customFormat="1" ht="14.7" customHeight="1" spans="1:32">
      <c r="A71" s="946"/>
      <c r="C71" s="43"/>
      <c r="D71" s="216"/>
      <c r="E71" s="959"/>
      <c r="F71" s="775" t="s">
        <v>587</v>
      </c>
      <c r="G71" s="401"/>
      <c r="H71" s="909"/>
      <c r="I71" s="909"/>
      <c r="J71" s="66"/>
      <c r="K71" s="43"/>
      <c r="L71" s="43"/>
      <c r="M71" s="43"/>
      <c r="R71" s="43"/>
      <c r="U71" s="947"/>
      <c r="AA71" s="572"/>
      <c r="AB71" s="572"/>
      <c r="AC71" s="572"/>
      <c r="AD71" s="572"/>
      <c r="AE71" s="572"/>
      <c r="AF71" s="37">
        <v>14</v>
      </c>
    </row>
    <row r="72" s="37" customFormat="1" ht="18.75" hidden="1" customHeight="1" spans="1:32">
      <c r="A72" s="971" t="s">
        <v>588</v>
      </c>
      <c r="C72" s="43"/>
      <c r="D72" s="519"/>
      <c r="E72" s="998" t="str">
        <f>FHD_NUM_P_34</f>
        <v/>
      </c>
      <c r="F72" s="392" t="str">
        <f>FHD_P_34</f>
        <v/>
      </c>
      <c r="G72" s="63" t="s">
        <v>562</v>
      </c>
      <c r="H72" s="916"/>
      <c r="I72" s="916"/>
      <c r="J72" s="82" t="str">
        <f>FHD_NOTE_P_34</f>
        <v/>
      </c>
      <c r="K72" s="965"/>
      <c r="L72" s="43"/>
      <c r="M72" s="43"/>
      <c r="R72" s="43"/>
      <c r="U72" s="947"/>
      <c r="AA72" s="572"/>
      <c r="AB72" s="572"/>
      <c r="AC72" s="572"/>
      <c r="AD72" s="572"/>
      <c r="AE72" s="572"/>
      <c r="AF72" s="37">
        <v>0</v>
      </c>
    </row>
    <row r="73" s="37" customFormat="1" ht="19.95" customHeight="1" spans="1:32">
      <c r="A73" s="946"/>
      <c r="C73" s="43"/>
      <c r="D73" s="961"/>
      <c r="E73" s="998" t="str">
        <f>FHD_NUM_P_35</f>
        <v>3</v>
      </c>
      <c r="F73" s="392" t="str">
        <f>FHD_P_35</f>
        <v>Чистая прибыль, полученная от регулируемого вида деятельности в сфере холодного водоснабжения, в том числе:</v>
      </c>
      <c r="G73" s="63" t="s">
        <v>562</v>
      </c>
      <c r="H73" s="916"/>
      <c r="I73" s="916"/>
      <c r="J73" s="82" t="str">
        <f>FHD_NOTE_P_35</f>
        <v>Указывается общая сумма чистой прибыли, полученной от регулируемого вида деятельности.</v>
      </c>
      <c r="K73" s="965"/>
      <c r="L73" s="43"/>
      <c r="M73" s="43"/>
      <c r="R73" s="43"/>
      <c r="U73" s="947"/>
      <c r="AA73" s="572"/>
      <c r="AB73" s="572"/>
      <c r="AC73" s="572"/>
      <c r="AD73" s="572"/>
      <c r="AE73" s="572"/>
      <c r="AF73" s="37">
        <v>19</v>
      </c>
    </row>
    <row r="74" s="37" customFormat="1" ht="19.95" customHeight="1" spans="1:32">
      <c r="A74" s="946"/>
      <c r="C74" s="43"/>
      <c r="D74" s="519"/>
      <c r="E74" s="998" t="str">
        <f>FHD_NUM_P_36</f>
        <v>3.1</v>
      </c>
      <c r="F74" s="66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63" t="s">
        <v>562</v>
      </c>
      <c r="H74" s="916"/>
      <c r="I74" s="916"/>
      <c r="J74" s="82" t="str">
        <f>FHD_NOTE_P_36</f>
        <v/>
      </c>
      <c r="K74" s="965"/>
      <c r="L74" s="43"/>
      <c r="M74" s="43"/>
      <c r="R74" s="43"/>
      <c r="U74" s="947"/>
      <c r="AA74" s="572"/>
      <c r="AB74" s="572"/>
      <c r="AC74" s="572"/>
      <c r="AD74" s="572"/>
      <c r="AE74" s="572"/>
      <c r="AF74" s="37">
        <v>19</v>
      </c>
    </row>
    <row r="75" s="37" customFormat="1" ht="19.95" customHeight="1" spans="1:32">
      <c r="A75" s="946"/>
      <c r="C75" s="43"/>
      <c r="D75" s="519"/>
      <c r="E75" s="998" t="str">
        <f>FHD_NUM_P_37</f>
        <v>4</v>
      </c>
      <c r="F75" s="392" t="str">
        <f>FHD_P_37</f>
        <v>Изменение стоимости основных фондов, в том числе:</v>
      </c>
      <c r="G75" s="63" t="s">
        <v>562</v>
      </c>
      <c r="H75" s="916"/>
      <c r="I75" s="916"/>
      <c r="J75" s="82" t="str">
        <f>FHD_NOTE_P_37</f>
        <v>Указывается общее изменение стоимости основных фондов.</v>
      </c>
      <c r="K75" s="965"/>
      <c r="L75" s="43"/>
      <c r="M75" s="43"/>
      <c r="R75" s="43"/>
      <c r="U75" s="947"/>
      <c r="AA75" s="572"/>
      <c r="AB75" s="572"/>
      <c r="AC75" s="572"/>
      <c r="AD75" s="572"/>
      <c r="AE75" s="572"/>
      <c r="AF75" s="37">
        <v>19</v>
      </c>
    </row>
    <row r="76" s="37" customFormat="1" ht="19.95" customHeight="1" spans="1:32">
      <c r="A76" s="946"/>
      <c r="C76" s="43"/>
      <c r="D76" s="519"/>
      <c r="E76" s="998" t="str">
        <f>FHD_NUM_P_38</f>
        <v>4.1</v>
      </c>
      <c r="F76" s="666" t="str">
        <f>FHD_P_38</f>
        <v>Изменение стоимости основных фондов за счет их ввода в эксплуатацию (вывода из эксплуатации)</v>
      </c>
      <c r="G76" s="63" t="s">
        <v>562</v>
      </c>
      <c r="H76" s="916"/>
      <c r="I76" s="916"/>
      <c r="J76" s="82" t="str">
        <f>FHD_NOTE_P_38</f>
        <v>Указываются общее изменение стоимости основных фондов за счет их ввода в эксплуатацию и вывода из эксплуатации.</v>
      </c>
      <c r="K76" s="965"/>
      <c r="L76" s="43"/>
      <c r="M76" s="43"/>
      <c r="R76" s="43"/>
      <c r="U76" s="947"/>
      <c r="AA76" s="572"/>
      <c r="AB76" s="572"/>
      <c r="AC76" s="572"/>
      <c r="AD76" s="572"/>
      <c r="AE76" s="572"/>
      <c r="AF76" s="37">
        <v>19</v>
      </c>
    </row>
    <row r="77" s="37" customFormat="1" ht="19.95" customHeight="1" spans="1:32">
      <c r="A77" s="946"/>
      <c r="C77" s="43"/>
      <c r="D77" s="519"/>
      <c r="E77" s="998" t="str">
        <f>FHD_NUM_P_39</f>
        <v>4.1.1</v>
      </c>
      <c r="F77" s="918" t="str">
        <f>FHD_P_39</f>
        <v>Изменение стоимости основных фондов за счет их ввода в эксплуатацию</v>
      </c>
      <c r="G77" s="70" t="s">
        <v>562</v>
      </c>
      <c r="H77" s="916"/>
      <c r="I77" s="916"/>
      <c r="J77" s="82" t="str">
        <f>FHD_NOTE_P_39</f>
        <v>Указываются изменение стоимости основных фондов за счет их ввода в эксплуатацию.</v>
      </c>
      <c r="K77" s="965"/>
      <c r="L77" s="43"/>
      <c r="M77" s="43"/>
      <c r="R77" s="43"/>
      <c r="U77" s="947"/>
      <c r="AA77" s="572"/>
      <c r="AB77" s="572"/>
      <c r="AC77" s="572"/>
      <c r="AD77" s="572"/>
      <c r="AE77" s="572"/>
      <c r="AF77" s="37">
        <v>19</v>
      </c>
    </row>
    <row r="78" s="37" customFormat="1" ht="19.95" customHeight="1" spans="1:32">
      <c r="A78" s="946"/>
      <c r="C78" s="43"/>
      <c r="D78" s="519"/>
      <c r="E78" s="998" t="str">
        <f>FHD_NUM_P_40</f>
        <v>4.1.2</v>
      </c>
      <c r="F78" s="1019" t="str">
        <f>FHD_P_40</f>
        <v>Изменение стоимости основных фондов за счет их вывода в эксплуатацию</v>
      </c>
      <c r="G78" s="63" t="s">
        <v>562</v>
      </c>
      <c r="H78" s="1020"/>
      <c r="I78" s="916"/>
      <c r="J78" s="82" t="str">
        <f>FHD_NOTE_P_40</f>
        <v>Указываются изменение стоимости основных фондов за счет их вывода из эксплуатации.</v>
      </c>
      <c r="K78" s="965"/>
      <c r="L78" s="43"/>
      <c r="M78" s="43"/>
      <c r="R78" s="43"/>
      <c r="U78" s="947"/>
      <c r="AA78" s="572"/>
      <c r="AB78" s="572"/>
      <c r="AC78" s="572"/>
      <c r="AD78" s="572"/>
      <c r="AE78" s="572"/>
      <c r="AF78" s="37">
        <v>19</v>
      </c>
    </row>
    <row r="79" s="37" customFormat="1" ht="19.95" customHeight="1" spans="1:32">
      <c r="A79" s="946"/>
      <c r="C79" s="43"/>
      <c r="D79" s="519"/>
      <c r="E79" s="998" t="str">
        <f>FHD_NUM_P_41</f>
        <v>4.2</v>
      </c>
      <c r="F79" s="566" t="str">
        <f>FHD_P_41</f>
        <v>Изменение стоимости основных фондов за счет их переоценки</v>
      </c>
      <c r="G79" s="63" t="s">
        <v>562</v>
      </c>
      <c r="H79" s="1020"/>
      <c r="I79" s="916"/>
      <c r="J79" s="82" t="str">
        <f>FHD_NOTE_P_41</f>
        <v/>
      </c>
      <c r="K79" s="965"/>
      <c r="L79" s="43"/>
      <c r="M79" s="43"/>
      <c r="R79" s="43"/>
      <c r="U79" s="947"/>
      <c r="AA79" s="572"/>
      <c r="AB79" s="572"/>
      <c r="AC79" s="572"/>
      <c r="AD79" s="572"/>
      <c r="AE79" s="572"/>
      <c r="AF79" s="37">
        <v>19</v>
      </c>
    </row>
    <row r="80" s="37" customFormat="1" ht="19.95" customHeight="1" spans="1:32">
      <c r="A80" s="971" t="s">
        <v>589</v>
      </c>
      <c r="C80" s="43"/>
      <c r="D80" s="519"/>
      <c r="E80" s="998" t="str">
        <f>FHD_NUM_P_42</f>
        <v>5</v>
      </c>
      <c r="F80" s="511" t="str">
        <f>FHD_P_42</f>
        <v>Валовая прибыль (убытки) от продажи товаров и услуг по регулируемым видам деятельности в сфере холодного водоснабжения</v>
      </c>
      <c r="G80" s="63" t="s">
        <v>562</v>
      </c>
      <c r="H80" s="1020"/>
      <c r="I80" s="916"/>
      <c r="J80" s="82" t="str">
        <f>FHD_NOTE_P_42</f>
        <v/>
      </c>
      <c r="K80" s="965"/>
      <c r="L80" s="43"/>
      <c r="M80" s="43"/>
      <c r="R80" s="43"/>
      <c r="U80" s="947"/>
      <c r="AA80" s="572"/>
      <c r="AB80" s="572"/>
      <c r="AC80" s="572"/>
      <c r="AD80" s="572"/>
      <c r="AE80" s="572"/>
      <c r="AF80" s="37">
        <v>19</v>
      </c>
    </row>
    <row r="81" s="37" customFormat="1" ht="19.95" customHeight="1" spans="1:32">
      <c r="A81" s="946"/>
      <c r="C81" s="43"/>
      <c r="D81" s="519"/>
      <c r="E81" s="998" t="str">
        <f>FHD_NUM_P_43</f>
        <v>6</v>
      </c>
      <c r="F81" s="392" t="str">
        <f>FHD_P_43</f>
        <v>Годовая бухгалтерская (финансовая) отчетность, включая бухгалтерский баланс и приложения к нему</v>
      </c>
      <c r="G81" s="72" t="s">
        <v>311</v>
      </c>
      <c r="H81" s="1021"/>
      <c r="I81" s="625"/>
      <c r="J81" s="82"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965"/>
      <c r="L81" s="43"/>
      <c r="M81" s="43"/>
      <c r="R81" s="43"/>
      <c r="U81" s="947"/>
      <c r="AA81" s="572"/>
      <c r="AB81" s="572"/>
      <c r="AC81" s="572"/>
      <c r="AD81" s="572"/>
      <c r="AE81" s="572"/>
      <c r="AF81" s="37">
        <v>19</v>
      </c>
    </row>
    <row r="82" s="37" customFormat="1" ht="18.75" customHeight="1" spans="1:32">
      <c r="A82" s="1004" t="s">
        <v>590</v>
      </c>
      <c r="C82" s="43"/>
      <c r="D82" s="519"/>
      <c r="E82" s="998" t="str">
        <f>FHD_NUM_P_44</f>
        <v>7</v>
      </c>
      <c r="F82" s="392" t="str">
        <f>FHD_P_44</f>
        <v>Объём поднятой воды</v>
      </c>
      <c r="G82" s="63" t="s">
        <v>591</v>
      </c>
      <c r="H82" s="1022"/>
      <c r="I82" s="972"/>
      <c r="J82" s="82" t="str">
        <f>FHD_NOTE_P_44</f>
        <v/>
      </c>
      <c r="K82" s="965"/>
      <c r="L82" s="43"/>
      <c r="M82" s="43"/>
      <c r="R82" s="43"/>
      <c r="U82" s="947"/>
      <c r="AA82" s="572"/>
      <c r="AB82" s="572"/>
      <c r="AC82" s="572"/>
      <c r="AD82" s="572"/>
      <c r="AE82" s="572"/>
      <c r="AF82" s="37">
        <v>0</v>
      </c>
    </row>
    <row r="83" s="37" customFormat="1" ht="18.75" customHeight="1" spans="1:32">
      <c r="A83" s="1004"/>
      <c r="C83" s="43"/>
      <c r="D83" s="519"/>
      <c r="E83" s="998" t="str">
        <f>FHD_NUM_P_45</f>
        <v>8</v>
      </c>
      <c r="F83" s="392" t="str">
        <f>FHD_P_45</f>
        <v>Объём покупной воды</v>
      </c>
      <c r="G83" s="63" t="s">
        <v>591</v>
      </c>
      <c r="H83" s="1022"/>
      <c r="I83" s="972"/>
      <c r="J83" s="82" t="str">
        <f>FHD_NOTE_P_45</f>
        <v/>
      </c>
      <c r="K83" s="965"/>
      <c r="L83" s="43"/>
      <c r="M83" s="43"/>
      <c r="R83" s="43"/>
      <c r="U83" s="947"/>
      <c r="AA83" s="572"/>
      <c r="AB83" s="572"/>
      <c r="AC83" s="572"/>
      <c r="AD83" s="572"/>
      <c r="AE83" s="572"/>
      <c r="AF83" s="37">
        <v>0</v>
      </c>
    </row>
    <row r="84" s="37" customFormat="1" ht="18.75" customHeight="1" spans="1:32">
      <c r="A84" s="1004"/>
      <c r="C84" s="43"/>
      <c r="D84" s="961"/>
      <c r="E84" s="998" t="str">
        <f>FHD_NUM_P_46</f>
        <v>9</v>
      </c>
      <c r="F84" s="392" t="str">
        <f>FHD_P_46</f>
        <v>Объём воды, пропущенной через очистные сооружения</v>
      </c>
      <c r="G84" s="63" t="s">
        <v>591</v>
      </c>
      <c r="H84" s="1022"/>
      <c r="I84" s="972"/>
      <c r="J84" s="82" t="str">
        <f>FHD_NOTE_P_46</f>
        <v/>
      </c>
      <c r="K84" s="965"/>
      <c r="L84" s="43"/>
      <c r="M84" s="43"/>
      <c r="R84" s="43"/>
      <c r="U84" s="947"/>
      <c r="AA84" s="572"/>
      <c r="AB84" s="572"/>
      <c r="AC84" s="572"/>
      <c r="AD84" s="572"/>
      <c r="AE84" s="572"/>
      <c r="AF84" s="37">
        <v>0</v>
      </c>
    </row>
    <row r="85" s="37" customFormat="1" ht="18.75" customHeight="1" spans="1:32">
      <c r="A85" s="1004"/>
      <c r="C85" s="43"/>
      <c r="D85" s="519"/>
      <c r="E85" s="998" t="str">
        <f>FHD_NUM_P_47</f>
        <v>10</v>
      </c>
      <c r="F85" s="392" t="str">
        <f>FHD_P_47</f>
        <v>Объём отпущенной потребителям воды, в том числе:</v>
      </c>
      <c r="G85" s="63" t="s">
        <v>591</v>
      </c>
      <c r="H85" s="1022"/>
      <c r="I85" s="972"/>
      <c r="J85" s="82" t="str">
        <f>FHD_NOTE_P_47</f>
        <v>Указывается общий объем отпущенной потребителям воды.</v>
      </c>
      <c r="K85" s="965"/>
      <c r="L85" s="43"/>
      <c r="M85" s="43"/>
      <c r="R85" s="43"/>
      <c r="U85" s="947"/>
      <c r="AA85" s="572"/>
      <c r="AB85" s="572"/>
      <c r="AC85" s="572"/>
      <c r="AD85" s="572"/>
      <c r="AE85" s="572"/>
      <c r="AF85" s="37">
        <v>0</v>
      </c>
    </row>
    <row r="86" s="42" customFormat="1" ht="18.75" customHeight="1" spans="1:32">
      <c r="A86" s="1004"/>
      <c r="B86" s="37"/>
      <c r="C86" s="43"/>
      <c r="D86" s="519"/>
      <c r="E86" s="998" t="str">
        <f>FHD_NUM_P_48</f>
        <v>10.1</v>
      </c>
      <c r="F86" s="392" t="str">
        <f>FHD_P_48</f>
        <v>Объём отпущенной потребителям воды, определенный по приборам учета</v>
      </c>
      <c r="G86" s="63" t="s">
        <v>591</v>
      </c>
      <c r="H86" s="1022"/>
      <c r="I86" s="972"/>
      <c r="J86" s="82" t="str">
        <f>FHD_NOTE_P_48</f>
        <v/>
      </c>
      <c r="K86" s="965"/>
      <c r="L86" s="43"/>
      <c r="M86" s="43"/>
      <c r="N86" s="37"/>
      <c r="O86" s="37"/>
      <c r="P86" s="37"/>
      <c r="Q86" s="37"/>
      <c r="R86" s="43"/>
      <c r="S86" s="37"/>
      <c r="T86" s="37"/>
      <c r="U86" s="947"/>
      <c r="V86" s="37"/>
      <c r="W86" s="37"/>
      <c r="X86" s="37"/>
      <c r="Y86" s="37"/>
      <c r="Z86" s="37"/>
      <c r="AA86" s="572"/>
      <c r="AB86" s="572"/>
      <c r="AC86" s="572"/>
      <c r="AD86" s="572"/>
      <c r="AE86" s="572"/>
      <c r="AF86" s="42">
        <v>0</v>
      </c>
    </row>
    <row r="87" s="42" customFormat="1" ht="18.75" customHeight="1" spans="1:32">
      <c r="A87" s="1004"/>
      <c r="B87" s="37"/>
      <c r="C87" s="43"/>
      <c r="D87" s="519"/>
      <c r="E87" s="998" t="str">
        <f>FHD_NUM_P_49</f>
        <v>10.2</v>
      </c>
      <c r="F87" s="392" t="str">
        <f>FHD_P_49</f>
        <v>Объём отпущенной потребителям воды, определенный расчетным способом</v>
      </c>
      <c r="G87" s="63" t="s">
        <v>591</v>
      </c>
      <c r="H87" s="1023">
        <f>SUM(H88:H89)</f>
        <v>0</v>
      </c>
      <c r="I87" s="1033">
        <f>SUM(I88:I89)</f>
        <v>0</v>
      </c>
      <c r="J87" s="82" t="str">
        <f>FHD_NOTE_P_49</f>
        <v/>
      </c>
      <c r="K87" s="965"/>
      <c r="L87" s="43"/>
      <c r="M87" s="43"/>
      <c r="N87" s="37"/>
      <c r="O87" s="37"/>
      <c r="P87" s="37"/>
      <c r="Q87" s="37"/>
      <c r="R87" s="43"/>
      <c r="S87" s="37"/>
      <c r="T87" s="37"/>
      <c r="U87" s="947"/>
      <c r="V87" s="37"/>
      <c r="W87" s="37"/>
      <c r="X87" s="37"/>
      <c r="Y87" s="37"/>
      <c r="Z87" s="37"/>
      <c r="AA87" s="572"/>
      <c r="AB87" s="572"/>
      <c r="AC87" s="572"/>
      <c r="AD87" s="572"/>
      <c r="AE87" s="572"/>
      <c r="AF87" s="42">
        <v>0</v>
      </c>
    </row>
    <row r="88" s="42" customFormat="1" ht="18.75" customHeight="1" spans="1:32">
      <c r="A88" s="1004"/>
      <c r="B88" s="37"/>
      <c r="C88" s="43"/>
      <c r="D88" s="519"/>
      <c r="E88" s="998" t="str">
        <f>FHD_NUM_P_50</f>
        <v>10.2.1</v>
      </c>
      <c r="F88" s="392" t="str">
        <f>FHD_P_50</f>
        <v>Объём отпущенной потребителям воды, определенный по нормативам потребления коммунальных услуг</v>
      </c>
      <c r="G88" s="63" t="s">
        <v>591</v>
      </c>
      <c r="H88" s="1022"/>
      <c r="I88" s="972"/>
      <c r="J88" s="82" t="str">
        <f>FHD_NOTE_P_50</f>
        <v/>
      </c>
      <c r="K88" s="965"/>
      <c r="L88" s="43"/>
      <c r="M88" s="43"/>
      <c r="N88" s="37"/>
      <c r="O88" s="37"/>
      <c r="P88" s="37"/>
      <c r="Q88" s="37"/>
      <c r="R88" s="43"/>
      <c r="S88" s="37"/>
      <c r="T88" s="37"/>
      <c r="U88" s="947"/>
      <c r="V88" s="37"/>
      <c r="W88" s="37"/>
      <c r="X88" s="37"/>
      <c r="Y88" s="37"/>
      <c r="Z88" s="37"/>
      <c r="AA88" s="572"/>
      <c r="AB88" s="572"/>
      <c r="AC88" s="572"/>
      <c r="AD88" s="572"/>
      <c r="AE88" s="572"/>
      <c r="AF88" s="42">
        <v>0</v>
      </c>
    </row>
    <row r="89" s="42" customFormat="1" ht="18.75" customHeight="1" spans="1:32">
      <c r="A89" s="1004"/>
      <c r="B89" s="37"/>
      <c r="C89" s="43"/>
      <c r="D89" s="519"/>
      <c r="E89" s="998" t="str">
        <f>FHD_NUM_P_51</f>
        <v>10.2.2</v>
      </c>
      <c r="F89" s="392" t="str">
        <f>FHD_P_51</f>
        <v>Объём отпущенной потребителям воды, определенный по нормативам потребления коммунальных ресурсов </v>
      </c>
      <c r="G89" s="63" t="s">
        <v>591</v>
      </c>
      <c r="H89" s="1022"/>
      <c r="I89" s="972"/>
      <c r="J89" s="82" t="str">
        <f>FHD_NOTE_P_51</f>
        <v/>
      </c>
      <c r="K89" s="965"/>
      <c r="L89" s="43"/>
      <c r="M89" s="43"/>
      <c r="N89" s="37"/>
      <c r="O89" s="37"/>
      <c r="P89" s="37"/>
      <c r="Q89" s="37"/>
      <c r="R89" s="43"/>
      <c r="S89" s="37"/>
      <c r="T89" s="37"/>
      <c r="U89" s="947"/>
      <c r="V89" s="37"/>
      <c r="W89" s="37"/>
      <c r="X89" s="37"/>
      <c r="Y89" s="37"/>
      <c r="Z89" s="37"/>
      <c r="AA89" s="572"/>
      <c r="AB89" s="572"/>
      <c r="AC89" s="572"/>
      <c r="AD89" s="572"/>
      <c r="AE89" s="572"/>
      <c r="AF89" s="42">
        <v>0</v>
      </c>
    </row>
    <row r="90" s="42" customFormat="1" ht="18.75" customHeight="1" spans="1:32">
      <c r="A90" s="1004"/>
      <c r="B90" s="37"/>
      <c r="C90" s="43"/>
      <c r="D90" s="519"/>
      <c r="E90" s="998" t="str">
        <f>FHD_NUM_P_52</f>
        <v>11</v>
      </c>
      <c r="F90" s="392" t="str">
        <f>FHD_P_52</f>
        <v>Потери воды в сетях</v>
      </c>
      <c r="G90" s="63" t="s">
        <v>568</v>
      </c>
      <c r="H90" s="1020"/>
      <c r="I90" s="916"/>
      <c r="J90" s="82" t="str">
        <f>FHD_NOTE_P_52</f>
        <v/>
      </c>
      <c r="K90" s="965"/>
      <c r="L90" s="43"/>
      <c r="M90" s="43"/>
      <c r="N90" s="37"/>
      <c r="O90" s="37"/>
      <c r="P90" s="37"/>
      <c r="Q90" s="37"/>
      <c r="R90" s="43"/>
      <c r="S90" s="37"/>
      <c r="T90" s="37"/>
      <c r="U90" s="947"/>
      <c r="V90" s="37"/>
      <c r="W90" s="37"/>
      <c r="X90" s="37"/>
      <c r="Y90" s="37"/>
      <c r="Z90" s="37"/>
      <c r="AA90" s="572"/>
      <c r="AB90" s="572"/>
      <c r="AC90" s="572"/>
      <c r="AD90" s="572"/>
      <c r="AE90" s="572"/>
      <c r="AF90" s="42">
        <v>0</v>
      </c>
    </row>
    <row r="91" s="37" customFormat="1" ht="18.75" hidden="1" customHeight="1" spans="1:32">
      <c r="A91" s="1004" t="s">
        <v>592</v>
      </c>
      <c r="C91" s="43"/>
      <c r="D91" s="519"/>
      <c r="E91" s="998" t="str">
        <f>FHD_NUM_P_53</f>
        <v/>
      </c>
      <c r="F91" s="392" t="str">
        <f>FHD_P_53</f>
        <v/>
      </c>
      <c r="G91" s="63" t="s">
        <v>591</v>
      </c>
      <c r="H91" s="1022"/>
      <c r="I91" s="972"/>
      <c r="J91" s="82" t="str">
        <f>FHD_NOTE_P_53</f>
        <v/>
      </c>
      <c r="K91" s="965"/>
      <c r="L91" s="43"/>
      <c r="M91" s="43"/>
      <c r="R91" s="43"/>
      <c r="U91" s="947"/>
      <c r="AA91" s="572"/>
      <c r="AB91" s="572"/>
      <c r="AC91" s="572"/>
      <c r="AD91" s="572"/>
      <c r="AE91" s="572"/>
      <c r="AF91" s="37">
        <v>0</v>
      </c>
    </row>
    <row r="92" s="37" customFormat="1" ht="18.75" hidden="1" customHeight="1" spans="1:32">
      <c r="A92" s="1004"/>
      <c r="C92" s="43"/>
      <c r="D92" s="519"/>
      <c r="E92" s="998" t="str">
        <f>FHD_NUM_P_54</f>
        <v/>
      </c>
      <c r="F92" s="392" t="str">
        <f>FHD_P_54</f>
        <v/>
      </c>
      <c r="G92" s="63" t="s">
        <v>591</v>
      </c>
      <c r="H92" s="1022"/>
      <c r="I92" s="972"/>
      <c r="J92" s="82" t="str">
        <f>FHD_NOTE_P_54</f>
        <v/>
      </c>
      <c r="K92" s="965"/>
      <c r="L92" s="43"/>
      <c r="M92" s="43"/>
      <c r="R92" s="43"/>
      <c r="U92" s="947"/>
      <c r="AA92" s="572"/>
      <c r="AB92" s="572"/>
      <c r="AC92" s="572"/>
      <c r="AD92" s="572"/>
      <c r="AE92" s="572"/>
      <c r="AF92" s="37">
        <v>0</v>
      </c>
    </row>
    <row r="93" s="37" customFormat="1" ht="18.75" hidden="1" customHeight="1" spans="1:32">
      <c r="A93" s="1004"/>
      <c r="C93" s="43"/>
      <c r="D93" s="961"/>
      <c r="E93" s="998" t="str">
        <f>FHD_NUM_P_55</f>
        <v/>
      </c>
      <c r="F93" s="392" t="str">
        <f>FHD_P_55</f>
        <v/>
      </c>
      <c r="G93" s="652"/>
      <c r="H93" s="1022"/>
      <c r="I93" s="972"/>
      <c r="J93" s="82" t="str">
        <f>FHD_NOTE_P_55</f>
        <v/>
      </c>
      <c r="K93" s="965"/>
      <c r="L93" s="43"/>
      <c r="M93" s="43"/>
      <c r="R93" s="43"/>
      <c r="U93" s="947"/>
      <c r="AA93" s="572"/>
      <c r="AB93" s="572"/>
      <c r="AC93" s="572"/>
      <c r="AD93" s="572"/>
      <c r="AE93" s="572"/>
      <c r="AF93" s="37">
        <v>0</v>
      </c>
    </row>
    <row r="94" s="37" customFormat="1" ht="18.75" hidden="1" customHeight="1" spans="1:32">
      <c r="A94" s="1004"/>
      <c r="C94" s="43"/>
      <c r="D94" s="519"/>
      <c r="E94" s="998" t="str">
        <f>FHD_NUM_P_56</f>
        <v/>
      </c>
      <c r="F94" s="392" t="str">
        <f>FHD_P_56</f>
        <v/>
      </c>
      <c r="G94" s="63" t="s">
        <v>593</v>
      </c>
      <c r="H94" s="1022"/>
      <c r="I94" s="972"/>
      <c r="J94" s="82" t="str">
        <f>FHD_NOTE_P_56</f>
        <v/>
      </c>
      <c r="K94" s="965"/>
      <c r="L94" s="43"/>
      <c r="M94" s="43"/>
      <c r="R94" s="43"/>
      <c r="U94" s="947"/>
      <c r="AA94" s="572"/>
      <c r="AB94" s="572"/>
      <c r="AC94" s="572"/>
      <c r="AD94" s="572"/>
      <c r="AE94" s="572"/>
      <c r="AF94" s="37">
        <v>0</v>
      </c>
    </row>
    <row r="95" s="42" customFormat="1" ht="18.75" hidden="1" customHeight="1" spans="1:32">
      <c r="A95" s="1004"/>
      <c r="B95" s="37"/>
      <c r="C95" s="43"/>
      <c r="D95" s="519"/>
      <c r="E95" s="998" t="str">
        <f>FHD_NUM_P_57</f>
        <v/>
      </c>
      <c r="F95" s="392" t="str">
        <f>FHD_P_57</f>
        <v/>
      </c>
      <c r="G95" s="63" t="s">
        <v>568</v>
      </c>
      <c r="H95" s="1020"/>
      <c r="I95" s="916"/>
      <c r="J95" s="82" t="str">
        <f>FHD_NOTE_P_57</f>
        <v/>
      </c>
      <c r="K95" s="965"/>
      <c r="L95" s="43"/>
      <c r="M95" s="43"/>
      <c r="N95" s="37"/>
      <c r="O95" s="37"/>
      <c r="P95" s="37"/>
      <c r="Q95" s="37"/>
      <c r="R95" s="43"/>
      <c r="S95" s="37"/>
      <c r="T95" s="37"/>
      <c r="U95" s="947"/>
      <c r="V95" s="37"/>
      <c r="W95" s="37"/>
      <c r="X95" s="37"/>
      <c r="Y95" s="37"/>
      <c r="Z95" s="37"/>
      <c r="AA95" s="572"/>
      <c r="AB95" s="572"/>
      <c r="AC95" s="572"/>
      <c r="AD95" s="572"/>
      <c r="AE95" s="572"/>
      <c r="AF95" s="42">
        <v>0</v>
      </c>
    </row>
    <row r="96" ht="18.75" hidden="1" customHeight="1" spans="1:32">
      <c r="A96" s="1004" t="s">
        <v>594</v>
      </c>
      <c r="D96" s="519"/>
      <c r="E96" s="998" t="str">
        <f>FHD_NUM_P_58</f>
        <v/>
      </c>
      <c r="F96" s="392" t="str">
        <f>FHD_P_58</f>
        <v/>
      </c>
      <c r="G96" s="63" t="s">
        <v>591</v>
      </c>
      <c r="H96" s="1022"/>
      <c r="I96" s="972"/>
      <c r="J96" s="82" t="str">
        <f>FHD_NOTE_P_58</f>
        <v/>
      </c>
      <c r="K96" s="965"/>
      <c r="AF96" s="42">
        <v>0</v>
      </c>
    </row>
    <row r="97" ht="18.75" hidden="1" customHeight="1" spans="1:32">
      <c r="A97" s="1004"/>
      <c r="D97" s="519"/>
      <c r="E97" s="998" t="str">
        <f>FHD_NUM_P_59</f>
        <v/>
      </c>
      <c r="F97" s="392" t="str">
        <f>FHD_P_59</f>
        <v/>
      </c>
      <c r="G97" s="63" t="s">
        <v>591</v>
      </c>
      <c r="H97" s="1022"/>
      <c r="I97" s="972"/>
      <c r="J97" s="82" t="str">
        <f>FHD_NOTE_P_59</f>
        <v/>
      </c>
      <c r="K97" s="965"/>
      <c r="AF97" s="42">
        <v>0</v>
      </c>
    </row>
    <row r="98" ht="18.75" hidden="1" customHeight="1" spans="1:32">
      <c r="A98" s="1004"/>
      <c r="D98" s="519"/>
      <c r="E98" s="998" t="str">
        <f>FHD_NUM_P_60</f>
        <v/>
      </c>
      <c r="F98" s="392" t="str">
        <f>FHD_P_60</f>
        <v/>
      </c>
      <c r="G98" s="63" t="s">
        <v>591</v>
      </c>
      <c r="H98" s="1022"/>
      <c r="I98" s="972"/>
      <c r="J98" s="82" t="str">
        <f>FHD_NOTE_P_60</f>
        <v/>
      </c>
      <c r="K98" s="965"/>
      <c r="AF98" s="42">
        <v>0</v>
      </c>
    </row>
    <row r="99" s="37" customFormat="1" ht="18.75" hidden="1" customHeight="1" spans="1:32">
      <c r="A99" s="1004" t="s">
        <v>595</v>
      </c>
      <c r="C99" s="43"/>
      <c r="D99" s="519"/>
      <c r="E99" s="998" t="str">
        <f>FHD_NUM_P_61</f>
        <v/>
      </c>
      <c r="F99" s="392" t="str">
        <f>FHD_P_61</f>
        <v/>
      </c>
      <c r="G99" s="63" t="s">
        <v>566</v>
      </c>
      <c r="H99" s="1024"/>
      <c r="I99" s="933"/>
      <c r="J99" s="82" t="str">
        <f>FHD_NOTE_P_61</f>
        <v/>
      </c>
      <c r="K99" s="965"/>
      <c r="L99" s="43"/>
      <c r="M99" s="43"/>
      <c r="R99" s="43"/>
      <c r="U99" s="947"/>
      <c r="AA99" s="572"/>
      <c r="AB99" s="572"/>
      <c r="AC99" s="572"/>
      <c r="AD99" s="572"/>
      <c r="AE99" s="572"/>
      <c r="AF99" s="37">
        <v>0</v>
      </c>
    </row>
    <row r="100" s="43" customFormat="1" ht="0.75" hidden="1" customHeight="1" spans="1:32">
      <c r="A100" s="1004"/>
      <c r="D100" s="306"/>
      <c r="E100" s="672" t="str">
        <f>E99&amp;".0"</f>
        <v>.0</v>
      </c>
      <c r="F100" s="1025"/>
      <c r="G100" s="1026"/>
      <c r="H100" s="958"/>
      <c r="I100" s="958"/>
      <c r="J100" s="1034"/>
      <c r="AF100" s="43">
        <v>0</v>
      </c>
    </row>
    <row r="101" ht="15" hidden="1" customHeight="1" spans="1:32">
      <c r="A101" s="1004"/>
      <c r="D101" s="216"/>
      <c r="E101" s="1027"/>
      <c r="F101" s="1028" t="s">
        <v>596</v>
      </c>
      <c r="G101" s="401"/>
      <c r="H101" s="909"/>
      <c r="I101" s="909"/>
      <c r="J101" s="819" t="s">
        <v>597</v>
      </c>
      <c r="K101" s="965"/>
      <c r="AF101" s="42">
        <v>0</v>
      </c>
    </row>
    <row r="102" s="37" customFormat="1" ht="18.75" hidden="1" customHeight="1" spans="1:32">
      <c r="A102" s="1004"/>
      <c r="C102" s="43"/>
      <c r="D102" s="519"/>
      <c r="E102" s="998" t="str">
        <f>FHD_NUM_P_62</f>
        <v/>
      </c>
      <c r="F102" s="392" t="str">
        <f>FHD_P_62</f>
        <v/>
      </c>
      <c r="G102" s="126" t="s">
        <v>566</v>
      </c>
      <c r="H102" s="916"/>
      <c r="I102" s="916"/>
      <c r="J102" s="82" t="str">
        <f>FHD_NOTE_P_62</f>
        <v/>
      </c>
      <c r="K102" s="965"/>
      <c r="L102" s="43"/>
      <c r="M102" s="43"/>
      <c r="R102" s="43"/>
      <c r="U102" s="947"/>
      <c r="AA102" s="572"/>
      <c r="AB102" s="572"/>
      <c r="AC102" s="572"/>
      <c r="AD102" s="572"/>
      <c r="AE102" s="572"/>
      <c r="AF102" s="37">
        <v>0</v>
      </c>
    </row>
    <row r="103" s="37" customFormat="1" ht="18.75" hidden="1" customHeight="1" spans="1:32">
      <c r="A103" s="1004"/>
      <c r="C103" s="43"/>
      <c r="D103" s="519"/>
      <c r="E103" s="998" t="str">
        <f>FHD_NUM_P_63</f>
        <v/>
      </c>
      <c r="F103" s="392" t="str">
        <f>FHD_P_63</f>
        <v/>
      </c>
      <c r="G103" s="126" t="s">
        <v>593</v>
      </c>
      <c r="H103" s="972"/>
      <c r="I103" s="972"/>
      <c r="J103" s="82" t="str">
        <f>FHD_NOTE_P_63</f>
        <v/>
      </c>
      <c r="K103" s="965"/>
      <c r="L103" s="43"/>
      <c r="M103" s="43"/>
      <c r="R103" s="43"/>
      <c r="U103" s="947"/>
      <c r="AA103" s="572"/>
      <c r="AB103" s="572"/>
      <c r="AC103" s="572"/>
      <c r="AD103" s="572"/>
      <c r="AE103" s="572"/>
      <c r="AF103" s="37">
        <v>0</v>
      </c>
    </row>
    <row r="104" s="37" customFormat="1" ht="18.75" hidden="1" customHeight="1" spans="1:32">
      <c r="A104" s="1004"/>
      <c r="C104" s="43" t="s">
        <v>598</v>
      </c>
      <c r="D104" s="519"/>
      <c r="E104" s="998" t="str">
        <f>FHD_NUM_P_64</f>
        <v/>
      </c>
      <c r="F104" s="392" t="str">
        <f>FHD_P_64</f>
        <v/>
      </c>
      <c r="G104" s="126" t="s">
        <v>593</v>
      </c>
      <c r="H104" s="962"/>
      <c r="I104" s="962"/>
      <c r="J104" s="82" t="str">
        <f>FHD_NOTE_P_64</f>
        <v/>
      </c>
      <c r="K104" s="965"/>
      <c r="L104" s="43"/>
      <c r="M104" s="43"/>
      <c r="R104" s="43"/>
      <c r="U104" s="947"/>
      <c r="AA104" s="572"/>
      <c r="AB104" s="572"/>
      <c r="AC104" s="572"/>
      <c r="AD104" s="572"/>
      <c r="AE104" s="572"/>
      <c r="AF104" s="37">
        <v>0</v>
      </c>
    </row>
    <row r="105" s="37" customFormat="1" ht="18.75" hidden="1" customHeight="1" spans="1:32">
      <c r="A105" s="1004"/>
      <c r="C105" s="43"/>
      <c r="D105" s="519"/>
      <c r="E105" s="998" t="str">
        <f>FHD_NUM_P_65</f>
        <v/>
      </c>
      <c r="F105" s="392" t="str">
        <f>FHD_P_65</f>
        <v/>
      </c>
      <c r="G105" s="126" t="s">
        <v>593</v>
      </c>
      <c r="H105" s="972"/>
      <c r="I105" s="972"/>
      <c r="J105" s="82" t="str">
        <f>FHD_NOTE_P_65</f>
        <v/>
      </c>
      <c r="K105" s="965"/>
      <c r="L105" s="43"/>
      <c r="M105" s="43"/>
      <c r="R105" s="43"/>
      <c r="U105" s="947"/>
      <c r="AA105" s="572"/>
      <c r="AB105" s="572"/>
      <c r="AC105" s="572"/>
      <c r="AD105" s="572"/>
      <c r="AE105" s="572"/>
      <c r="AF105" s="37">
        <v>0</v>
      </c>
    </row>
    <row r="106" s="37" customFormat="1" ht="18.75" hidden="1" customHeight="1" spans="1:32">
      <c r="A106" s="1004"/>
      <c r="C106" s="43"/>
      <c r="D106" s="519"/>
      <c r="E106" s="998" t="str">
        <f>FHD_NUM_P_66</f>
        <v/>
      </c>
      <c r="F106" s="666" t="str">
        <f>FHD_P_66</f>
        <v/>
      </c>
      <c r="G106" s="126" t="s">
        <v>593</v>
      </c>
      <c r="H106" s="972"/>
      <c r="I106" s="972"/>
      <c r="J106" s="82" t="str">
        <f>FHD_NOTE_P_66</f>
        <v/>
      </c>
      <c r="K106" s="965"/>
      <c r="L106" s="43"/>
      <c r="M106" s="43"/>
      <c r="R106" s="43"/>
      <c r="U106" s="947"/>
      <c r="AA106" s="572"/>
      <c r="AB106" s="572"/>
      <c r="AC106" s="572"/>
      <c r="AD106" s="572"/>
      <c r="AE106" s="572"/>
      <c r="AF106" s="37">
        <v>0</v>
      </c>
    </row>
    <row r="107" s="37" customFormat="1" ht="18.75" hidden="1" customHeight="1" spans="1:32">
      <c r="A107" s="1004"/>
      <c r="C107" s="43"/>
      <c r="D107" s="519"/>
      <c r="E107" s="998" t="str">
        <f>FHD_NUM_P_67</f>
        <v/>
      </c>
      <c r="F107" s="918" t="str">
        <f>FHD_P_67</f>
        <v/>
      </c>
      <c r="G107" s="126" t="s">
        <v>593</v>
      </c>
      <c r="H107" s="972"/>
      <c r="I107" s="972"/>
      <c r="J107" s="82" t="str">
        <f>FHD_NOTE_P_67</f>
        <v/>
      </c>
      <c r="K107" s="965"/>
      <c r="L107" s="43"/>
      <c r="M107" s="43"/>
      <c r="R107" s="43"/>
      <c r="U107" s="947"/>
      <c r="AA107" s="572"/>
      <c r="AB107" s="572"/>
      <c r="AC107" s="572"/>
      <c r="AD107" s="572"/>
      <c r="AE107" s="572"/>
      <c r="AF107" s="37">
        <v>0</v>
      </c>
    </row>
    <row r="108" s="37" customFormat="1" ht="18.75" hidden="1" customHeight="1" spans="1:32">
      <c r="A108" s="1004"/>
      <c r="C108" s="43"/>
      <c r="D108" s="519"/>
      <c r="E108" s="998" t="str">
        <f>FHD_NUM_P_68</f>
        <v/>
      </c>
      <c r="F108" s="666" t="str">
        <f>FHD_P_68</f>
        <v/>
      </c>
      <c r="G108" s="126" t="s">
        <v>593</v>
      </c>
      <c r="H108" s="972"/>
      <c r="I108" s="972"/>
      <c r="J108" s="82" t="str">
        <f>FHD_NOTE_P_68</f>
        <v/>
      </c>
      <c r="K108" s="965"/>
      <c r="L108" s="43"/>
      <c r="M108" s="43"/>
      <c r="R108" s="43"/>
      <c r="U108" s="947"/>
      <c r="AA108" s="572"/>
      <c r="AB108" s="572"/>
      <c r="AC108" s="572"/>
      <c r="AD108" s="572"/>
      <c r="AE108" s="572"/>
      <c r="AF108" s="37">
        <v>0</v>
      </c>
    </row>
    <row r="109" s="37" customFormat="1" ht="18.75" hidden="1" customHeight="1" spans="1:32">
      <c r="A109" s="1004"/>
      <c r="C109" s="43"/>
      <c r="D109" s="519"/>
      <c r="E109" s="998" t="str">
        <f>FHD_NUM_P_69</f>
        <v/>
      </c>
      <c r="F109" s="666" t="str">
        <f>FHD_P_69</f>
        <v/>
      </c>
      <c r="G109" s="126" t="s">
        <v>593</v>
      </c>
      <c r="H109" s="972"/>
      <c r="I109" s="972"/>
      <c r="J109" s="82" t="str">
        <f>FHD_NOTE_P_69</f>
        <v/>
      </c>
      <c r="K109" s="965"/>
      <c r="L109" s="43"/>
      <c r="M109" s="43"/>
      <c r="R109" s="43"/>
      <c r="U109" s="947"/>
      <c r="AA109" s="572"/>
      <c r="AB109" s="572"/>
      <c r="AC109" s="572"/>
      <c r="AD109" s="572"/>
      <c r="AE109" s="572"/>
      <c r="AF109" s="37">
        <v>0</v>
      </c>
    </row>
    <row r="110" s="37" customFormat="1" ht="22.5" hidden="1" customHeight="1" spans="1:32">
      <c r="A110" s="1004"/>
      <c r="C110" s="43"/>
      <c r="D110" s="519"/>
      <c r="E110" s="998" t="str">
        <f>FHD_NUM_P_70</f>
        <v/>
      </c>
      <c r="F110" s="392" t="str">
        <f>FHD_P_70</f>
        <v/>
      </c>
      <c r="G110" s="126" t="s">
        <v>599</v>
      </c>
      <c r="H110" s="916"/>
      <c r="I110" s="916"/>
      <c r="J110" s="82" t="str">
        <f>FHD_NOTE_P_70</f>
        <v/>
      </c>
      <c r="K110" s="965"/>
      <c r="L110" s="43"/>
      <c r="M110" s="43"/>
      <c r="R110" s="43"/>
      <c r="U110" s="947"/>
      <c r="AA110" s="572"/>
      <c r="AB110" s="572"/>
      <c r="AC110" s="572"/>
      <c r="AD110" s="572"/>
      <c r="AE110" s="572"/>
      <c r="AF110" s="37">
        <v>0</v>
      </c>
    </row>
    <row r="111" s="37" customFormat="1" ht="22.5" hidden="1" customHeight="1" spans="1:32">
      <c r="A111" s="1004"/>
      <c r="C111" s="43"/>
      <c r="D111" s="519"/>
      <c r="E111" s="998" t="str">
        <f>FHD_NUM_P_71</f>
        <v/>
      </c>
      <c r="F111" s="392" t="str">
        <f>FHD_P_71</f>
        <v/>
      </c>
      <c r="G111" s="126" t="s">
        <v>599</v>
      </c>
      <c r="H111" s="916"/>
      <c r="I111" s="916"/>
      <c r="J111" s="82" t="str">
        <f>FHD_NOTE_P_71</f>
        <v/>
      </c>
      <c r="K111" s="965"/>
      <c r="L111" s="43"/>
      <c r="M111" s="43"/>
      <c r="R111" s="43"/>
      <c r="U111" s="947"/>
      <c r="AA111" s="572"/>
      <c r="AB111" s="572"/>
      <c r="AC111" s="572"/>
      <c r="AD111" s="572"/>
      <c r="AE111" s="572"/>
      <c r="AF111" s="37">
        <v>0</v>
      </c>
    </row>
    <row r="112" ht="19.95" customHeight="1" spans="4:32">
      <c r="D112" s="519"/>
      <c r="E112" s="998" t="str">
        <f>FHD_NUM_P_72</f>
        <v>12</v>
      </c>
      <c r="F112" s="392" t="str">
        <f>FHD_P_72</f>
        <v>Среднесписочная численность основного производственного персонала</v>
      </c>
      <c r="G112" s="126" t="s">
        <v>600</v>
      </c>
      <c r="H112" s="972"/>
      <c r="I112" s="972"/>
      <c r="J112" s="82" t="str">
        <f>FHD_NOTE_P_72</f>
        <v/>
      </c>
      <c r="K112" s="965"/>
      <c r="AF112" s="42">
        <v>19</v>
      </c>
    </row>
    <row r="113" ht="18.75" hidden="1" customHeight="1" spans="1:32">
      <c r="A113" s="971" t="s">
        <v>601</v>
      </c>
      <c r="D113" s="519"/>
      <c r="E113" s="998" t="str">
        <f>FHD_NUM_P_73</f>
        <v/>
      </c>
      <c r="F113" s="392" t="str">
        <f>FHD_P_73</f>
        <v/>
      </c>
      <c r="G113" s="893" t="s">
        <v>600</v>
      </c>
      <c r="H113" s="1029"/>
      <c r="I113" s="1029"/>
      <c r="J113" s="82" t="str">
        <f>FHD_NOTE_P_73</f>
        <v/>
      </c>
      <c r="K113" s="965"/>
      <c r="AF113" s="42">
        <v>0</v>
      </c>
    </row>
    <row r="114" ht="33.75" customHeight="1" spans="1:32">
      <c r="A114" s="971" t="s">
        <v>602</v>
      </c>
      <c r="D114" s="519"/>
      <c r="E114" s="998" t="str">
        <f>FHD_NUM_P_74</f>
        <v>13</v>
      </c>
      <c r="F114" s="392" t="str">
        <f>FHD_P_74</f>
        <v>Удельный расход электрической энергии на подачу воды в сеть</v>
      </c>
      <c r="G114" s="126" t="s">
        <v>603</v>
      </c>
      <c r="H114" s="972"/>
      <c r="I114" s="972"/>
      <c r="J114" s="82" t="str">
        <f>FHD_NOTE_P_74</f>
        <v/>
      </c>
      <c r="K114" s="965"/>
      <c r="AF114" s="42">
        <v>0</v>
      </c>
    </row>
    <row r="115" s="42" customFormat="1" ht="18.75" customHeight="1" spans="1:32">
      <c r="A115" s="1004" t="s">
        <v>604</v>
      </c>
      <c r="B115" s="37"/>
      <c r="C115" s="43"/>
      <c r="D115" s="519"/>
      <c r="E115" s="998" t="str">
        <f>FHD_NUM_P_75</f>
        <v>14</v>
      </c>
      <c r="F115" s="392" t="str">
        <f>FHD_P_75</f>
        <v>Расход воды на собственные нужды, в том числе:</v>
      </c>
      <c r="G115" s="126" t="s">
        <v>568</v>
      </c>
      <c r="H115" s="916"/>
      <c r="I115" s="916"/>
      <c r="J115" s="82" t="str">
        <f>FHD_NOTE_P_75</f>
        <v>Указывается доля общего расхода воды на собственные нужны от объема отпуска воды потребителям.</v>
      </c>
      <c r="K115" s="965"/>
      <c r="L115" s="43"/>
      <c r="M115" s="43"/>
      <c r="N115" s="37"/>
      <c r="O115" s="37"/>
      <c r="P115" s="37"/>
      <c r="Q115" s="37"/>
      <c r="R115" s="43"/>
      <c r="S115" s="37"/>
      <c r="T115" s="37"/>
      <c r="U115" s="947"/>
      <c r="V115" s="37"/>
      <c r="W115" s="37"/>
      <c r="X115" s="37"/>
      <c r="Y115" s="37"/>
      <c r="Z115" s="37"/>
      <c r="AA115" s="572"/>
      <c r="AB115" s="572"/>
      <c r="AC115" s="572"/>
      <c r="AD115" s="572"/>
      <c r="AE115" s="572"/>
      <c r="AF115" s="42">
        <v>0</v>
      </c>
    </row>
    <row r="116" s="42" customFormat="1" ht="18.75" customHeight="1" spans="1:32">
      <c r="A116" s="1004"/>
      <c r="B116" s="37"/>
      <c r="C116" s="43"/>
      <c r="D116" s="519"/>
      <c r="E116" s="998" t="str">
        <f>FHD_NUM_P_76</f>
        <v>14.1</v>
      </c>
      <c r="F116" s="392" t="str">
        <f>FHD_P_76</f>
        <v>Расход воды на хозяйственно-бытовые нужды</v>
      </c>
      <c r="G116" s="126" t="s">
        <v>568</v>
      </c>
      <c r="H116" s="916"/>
      <c r="I116" s="916"/>
      <c r="J116" s="82" t="str">
        <f>FHD_NOTE_P_76</f>
        <v>Указывается доля расхода воды на хозяйственно-бытовые нужны от объема отпуска воды потребителям.</v>
      </c>
      <c r="K116" s="965"/>
      <c r="L116" s="43"/>
      <c r="M116" s="43"/>
      <c r="N116" s="37"/>
      <c r="O116" s="37"/>
      <c r="P116" s="37"/>
      <c r="Q116" s="37"/>
      <c r="R116" s="43"/>
      <c r="S116" s="37"/>
      <c r="T116" s="37"/>
      <c r="U116" s="947"/>
      <c r="V116" s="37"/>
      <c r="W116" s="37"/>
      <c r="X116" s="37"/>
      <c r="Y116" s="37"/>
      <c r="Z116" s="37"/>
      <c r="AA116" s="572"/>
      <c r="AB116" s="572"/>
      <c r="AC116" s="572"/>
      <c r="AD116" s="572"/>
      <c r="AE116" s="572"/>
      <c r="AF116" s="42">
        <v>0</v>
      </c>
    </row>
    <row r="117" s="42" customFormat="1" ht="18.75" customHeight="1" spans="1:32">
      <c r="A117" s="1004"/>
      <c r="B117" s="37"/>
      <c r="C117" s="43"/>
      <c r="D117" s="519"/>
      <c r="E117" s="998" t="str">
        <f>FHD_NUM_P_77</f>
        <v>15</v>
      </c>
      <c r="F117" s="392" t="str">
        <f>FHD_P_77</f>
        <v>Показатель использования производственных объектов (по объему перекачки), в том числе:</v>
      </c>
      <c r="G117" s="126" t="s">
        <v>568</v>
      </c>
      <c r="H117" s="916"/>
      <c r="I117" s="916"/>
      <c r="J117" s="82"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965"/>
      <c r="L117" s="43"/>
      <c r="M117" s="43"/>
      <c r="N117" s="37"/>
      <c r="O117" s="37"/>
      <c r="P117" s="37"/>
      <c r="Q117" s="37"/>
      <c r="R117" s="43"/>
      <c r="S117" s="37"/>
      <c r="T117" s="37"/>
      <c r="U117" s="947"/>
      <c r="V117" s="37"/>
      <c r="W117" s="37"/>
      <c r="X117" s="37"/>
      <c r="Y117" s="37"/>
      <c r="Z117" s="37"/>
      <c r="AA117" s="572"/>
      <c r="AB117" s="572"/>
      <c r="AC117" s="572"/>
      <c r="AD117" s="572"/>
      <c r="AE117" s="572"/>
      <c r="AF117" s="42">
        <v>0</v>
      </c>
    </row>
    <row r="118" s="43" customFormat="1" ht="0.75" customHeight="1" spans="1:32">
      <c r="A118" s="1004"/>
      <c r="D118" s="306"/>
      <c r="E118" s="672" t="str">
        <f>E117&amp;".0"</f>
        <v>15.0</v>
      </c>
      <c r="F118" s="1030"/>
      <c r="G118" s="1031"/>
      <c r="H118" s="958"/>
      <c r="I118" s="958"/>
      <c r="J118" s="1034"/>
      <c r="AF118" s="43">
        <v>0</v>
      </c>
    </row>
    <row r="119" s="42" customFormat="1" ht="15" customHeight="1" spans="1:32">
      <c r="A119" s="1004"/>
      <c r="B119" s="37"/>
      <c r="C119" s="43"/>
      <c r="D119" s="216"/>
      <c r="E119" s="1027"/>
      <c r="F119" s="1028" t="s">
        <v>605</v>
      </c>
      <c r="G119" s="401"/>
      <c r="H119" s="909"/>
      <c r="I119" s="909"/>
      <c r="J119" s="819" t="s">
        <v>606</v>
      </c>
      <c r="K119" s="965"/>
      <c r="L119" s="43"/>
      <c r="M119" s="43"/>
      <c r="N119" s="37"/>
      <c r="O119" s="37"/>
      <c r="P119" s="37"/>
      <c r="Q119" s="37"/>
      <c r="R119" s="43"/>
      <c r="S119" s="37"/>
      <c r="T119" s="37"/>
      <c r="U119" s="947"/>
      <c r="V119" s="37"/>
      <c r="W119" s="37"/>
      <c r="X119" s="37"/>
      <c r="Y119" s="37"/>
      <c r="Z119" s="37"/>
      <c r="AA119" s="572"/>
      <c r="AB119" s="572"/>
      <c r="AC119" s="572"/>
      <c r="AD119" s="572"/>
      <c r="AE119" s="572"/>
      <c r="AF119" s="42">
        <v>0</v>
      </c>
    </row>
    <row r="120" ht="22.5" hidden="1" customHeight="1" spans="1:32">
      <c r="A120" s="1004" t="s">
        <v>607</v>
      </c>
      <c r="D120" s="519"/>
      <c r="E120" s="998" t="str">
        <f>FHD_NUM_P_78</f>
        <v/>
      </c>
      <c r="F120" s="392" t="str">
        <f>FHD_P_78</f>
        <v/>
      </c>
      <c r="G120" s="126" t="s">
        <v>570</v>
      </c>
      <c r="H120" s="972"/>
      <c r="I120" s="972"/>
      <c r="J120" s="82" t="str">
        <f>FHD_NOTE_P_78</f>
        <v/>
      </c>
      <c r="K120" s="965"/>
      <c r="AF120" s="42">
        <v>0</v>
      </c>
    </row>
    <row r="121" s="43" customFormat="1" ht="0.75" hidden="1" customHeight="1" spans="1:32">
      <c r="A121" s="1004"/>
      <c r="D121" s="306"/>
      <c r="E121" s="672" t="str">
        <f>E120&amp;".0"</f>
        <v>.0</v>
      </c>
      <c r="F121" s="1030"/>
      <c r="G121" s="1031"/>
      <c r="H121" s="958"/>
      <c r="I121" s="958"/>
      <c r="J121" s="1034"/>
      <c r="AF121" s="43">
        <v>0</v>
      </c>
    </row>
    <row r="122" ht="15" hidden="1" customHeight="1" spans="1:32">
      <c r="A122" s="1004"/>
      <c r="D122" s="216"/>
      <c r="E122" s="959"/>
      <c r="F122" s="226" t="s">
        <v>596</v>
      </c>
      <c r="G122" s="401"/>
      <c r="H122" s="909"/>
      <c r="I122" s="909"/>
      <c r="J122" s="819" t="s">
        <v>608</v>
      </c>
      <c r="K122" s="965"/>
      <c r="AF122" s="42">
        <v>0</v>
      </c>
    </row>
    <row r="123" ht="22.5" hidden="1" customHeight="1" spans="1:32">
      <c r="A123" s="1004"/>
      <c r="D123" s="519"/>
      <c r="E123" s="998" t="str">
        <f>FHD_NUM_P_79</f>
        <v/>
      </c>
      <c r="F123" s="392" t="str">
        <f>FHD_P_79</f>
        <v/>
      </c>
      <c r="G123" s="63" t="s">
        <v>572</v>
      </c>
      <c r="H123" s="972"/>
      <c r="I123" s="972"/>
      <c r="J123" s="82" t="str">
        <f>FHD_NOTE_P_79</f>
        <v/>
      </c>
      <c r="K123" s="965"/>
      <c r="AF123" s="42">
        <v>0</v>
      </c>
    </row>
    <row r="124" s="43" customFormat="1" ht="0.75" hidden="1" customHeight="1" spans="1:32">
      <c r="A124" s="1004"/>
      <c r="D124" s="306"/>
      <c r="E124" s="672" t="str">
        <f>E123&amp;".0"</f>
        <v>.0</v>
      </c>
      <c r="F124" s="1032"/>
      <c r="G124" s="1031"/>
      <c r="H124" s="958"/>
      <c r="I124" s="958"/>
      <c r="J124" s="1034"/>
      <c r="AF124" s="43">
        <v>0</v>
      </c>
    </row>
    <row r="125" ht="15" hidden="1" customHeight="1" spans="1:32">
      <c r="A125" s="1004"/>
      <c r="D125" s="216"/>
      <c r="E125" s="959"/>
      <c r="F125" s="226" t="s">
        <v>596</v>
      </c>
      <c r="G125" s="401"/>
      <c r="H125" s="909"/>
      <c r="I125" s="909"/>
      <c r="J125" s="819" t="s">
        <v>609</v>
      </c>
      <c r="K125" s="965"/>
      <c r="AF125" s="42">
        <v>0</v>
      </c>
    </row>
    <row r="126" ht="22.5" hidden="1" customHeight="1" spans="1:32">
      <c r="A126" s="1004"/>
      <c r="D126" s="519"/>
      <c r="E126" s="998" t="str">
        <f>FHD_NUM_P_80</f>
        <v/>
      </c>
      <c r="F126" s="392" t="str">
        <f>FHD_P_80</f>
        <v/>
      </c>
      <c r="G126" s="63" t="s">
        <v>610</v>
      </c>
      <c r="H126" s="916"/>
      <c r="I126" s="916"/>
      <c r="J126" s="82" t="str">
        <f>FHD_NOTE_P_80</f>
        <v/>
      </c>
      <c r="K126" s="965"/>
      <c r="AF126" s="42">
        <v>0</v>
      </c>
    </row>
    <row r="127" ht="18.75" hidden="1" customHeight="1" spans="1:32">
      <c r="A127" s="1004"/>
      <c r="D127" s="519"/>
      <c r="E127" s="998" t="str">
        <f>FHD_NUM_P_81</f>
        <v/>
      </c>
      <c r="F127" s="392" t="str">
        <f>FHD_P_81</f>
        <v/>
      </c>
      <c r="G127" s="63" t="s">
        <v>611</v>
      </c>
      <c r="H127" s="916"/>
      <c r="I127" s="916"/>
      <c r="J127" s="82" t="str">
        <f>FHD_NOTE_P_81</f>
        <v/>
      </c>
      <c r="K127" s="965"/>
      <c r="AF127" s="42">
        <v>0</v>
      </c>
    </row>
    <row r="128" ht="18.75" hidden="1" customHeight="1" spans="1:32">
      <c r="A128" s="1004"/>
      <c r="C128" s="43" t="s">
        <v>598</v>
      </c>
      <c r="D128" s="519"/>
      <c r="E128" s="998" t="str">
        <f>FHD_NUM_P_82</f>
        <v/>
      </c>
      <c r="F128" s="392" t="str">
        <f>FHD_P_82</f>
        <v/>
      </c>
      <c r="G128" s="63" t="s">
        <v>311</v>
      </c>
      <c r="H128" s="625"/>
      <c r="I128" s="625"/>
      <c r="J128" s="82" t="str">
        <f>FHD_NOTE_P_82</f>
        <v/>
      </c>
      <c r="K128" s="965"/>
      <c r="AF128" s="42">
        <v>0</v>
      </c>
    </row>
    <row r="129" ht="18.75" hidden="1" customHeight="1" spans="1:32">
      <c r="A129" s="1004"/>
      <c r="C129" s="43" t="s">
        <v>598</v>
      </c>
      <c r="D129" s="519"/>
      <c r="E129" s="998" t="str">
        <f>FHD_NUM_P_83</f>
        <v/>
      </c>
      <c r="F129" s="666" t="str">
        <f>FHD_P_83</f>
        <v/>
      </c>
      <c r="G129" s="63" t="s">
        <v>311</v>
      </c>
      <c r="H129" s="625"/>
      <c r="I129" s="625"/>
      <c r="J129" s="82" t="str">
        <f>FHD_NOTE_P_83</f>
        <v/>
      </c>
      <c r="K129" s="965"/>
      <c r="AF129" s="42">
        <v>0</v>
      </c>
    </row>
    <row r="130" ht="18.75" hidden="1" customHeight="1" spans="1:32">
      <c r="A130" s="1004"/>
      <c r="C130" s="43" t="s">
        <v>598</v>
      </c>
      <c r="D130" s="519"/>
      <c r="E130" s="998" t="str">
        <f>FHD_NUM_P_84</f>
        <v/>
      </c>
      <c r="F130" s="666" t="str">
        <f>FHD_P_84</f>
        <v/>
      </c>
      <c r="G130" s="63" t="s">
        <v>311</v>
      </c>
      <c r="H130" s="625"/>
      <c r="I130" s="625"/>
      <c r="J130" s="82" t="str">
        <f>FHD_NOTE_P_84</f>
        <v/>
      </c>
      <c r="K130" s="965"/>
      <c r="AF130" s="42">
        <v>0</v>
      </c>
    </row>
    <row r="131" ht="11.55" customHeight="1" spans="4:32">
      <c r="D131" s="519"/>
      <c r="AF131" s="42">
        <v>11</v>
      </c>
    </row>
    <row r="132" ht="13.5" customHeight="1" spans="4:32">
      <c r="D132" s="519"/>
      <c r="E132" s="781"/>
      <c r="F132" s="784"/>
      <c r="G132" s="784"/>
      <c r="H132" s="784"/>
      <c r="I132" s="119"/>
      <c r="J132" s="41"/>
      <c r="AF132" s="42">
        <v>13</v>
      </c>
    </row>
    <row r="133" s="36" customFormat="1" ht="11.55" customHeight="1" spans="1:32">
      <c r="A133" s="946"/>
      <c r="B133" s="43"/>
      <c r="C133" s="43"/>
      <c r="F133" s="1035"/>
      <c r="G133" s="42"/>
      <c r="H133" s="42"/>
      <c r="I133" s="42"/>
      <c r="K133" s="37"/>
      <c r="L133" s="43"/>
      <c r="M133" s="43"/>
      <c r="N133" s="37"/>
      <c r="O133" s="37"/>
      <c r="P133" s="37"/>
      <c r="Q133" s="37"/>
      <c r="R133" s="43"/>
      <c r="S133" s="37"/>
      <c r="T133" s="37"/>
      <c r="U133" s="947"/>
      <c r="V133" s="37"/>
      <c r="W133" s="37"/>
      <c r="X133" s="37"/>
      <c r="Y133" s="37"/>
      <c r="Z133" s="37"/>
      <c r="AA133" s="572"/>
      <c r="AB133" s="963"/>
      <c r="AC133" s="963"/>
      <c r="AD133" s="963"/>
      <c r="AE133" s="963"/>
      <c r="AF133" s="36">
        <v>11</v>
      </c>
    </row>
    <row r="134" s="36" customFormat="1" ht="11.55" customHeight="1" spans="1:32">
      <c r="A134" s="946"/>
      <c r="B134" s="43"/>
      <c r="C134" s="43"/>
      <c r="K134" s="37"/>
      <c r="L134" s="43"/>
      <c r="M134" s="43"/>
      <c r="N134" s="37"/>
      <c r="O134" s="37"/>
      <c r="P134" s="37"/>
      <c r="Q134" s="37"/>
      <c r="R134" s="43"/>
      <c r="S134" s="37"/>
      <c r="T134" s="37"/>
      <c r="U134" s="947"/>
      <c r="V134" s="37"/>
      <c r="W134" s="37"/>
      <c r="X134" s="37"/>
      <c r="Y134" s="37"/>
      <c r="Z134" s="37"/>
      <c r="AA134" s="572"/>
      <c r="AB134" s="963"/>
      <c r="AC134" s="963"/>
      <c r="AD134" s="963"/>
      <c r="AE134" s="963"/>
      <c r="AF134" s="36">
        <v>11</v>
      </c>
    </row>
    <row r="135" s="36" customFormat="1" ht="11.55" customHeight="1" spans="1:32">
      <c r="A135" s="946"/>
      <c r="B135" s="43"/>
      <c r="C135" s="43"/>
      <c r="K135" s="37"/>
      <c r="L135" s="43"/>
      <c r="M135" s="43"/>
      <c r="N135" s="37"/>
      <c r="O135" s="37"/>
      <c r="P135" s="37"/>
      <c r="Q135" s="37"/>
      <c r="R135" s="43"/>
      <c r="S135" s="37"/>
      <c r="T135" s="37"/>
      <c r="U135" s="947"/>
      <c r="V135" s="37"/>
      <c r="W135" s="37"/>
      <c r="X135" s="37"/>
      <c r="Y135" s="37"/>
      <c r="Z135" s="37"/>
      <c r="AA135" s="572"/>
      <c r="AB135" s="963"/>
      <c r="AC135" s="963"/>
      <c r="AD135" s="963"/>
      <c r="AE135" s="963"/>
      <c r="AF135" s="36">
        <v>11</v>
      </c>
    </row>
    <row r="136" s="36" customFormat="1" ht="11.55" customHeight="1" spans="1:32">
      <c r="A136" s="946"/>
      <c r="B136" s="43"/>
      <c r="C136" s="43"/>
      <c r="H136" s="963" t="str">
        <f>IF(H30-H31&lt;&gt;H72,"WARNING","")</f>
        <v/>
      </c>
      <c r="I136" s="963" t="str">
        <f>IF(I30-I31&lt;&gt;I72,"WARNING","")</f>
        <v/>
      </c>
      <c r="K136" s="37"/>
      <c r="L136" s="43"/>
      <c r="M136" s="43"/>
      <c r="N136" s="37"/>
      <c r="O136" s="37"/>
      <c r="P136" s="37"/>
      <c r="Q136" s="37"/>
      <c r="R136" s="43"/>
      <c r="S136" s="37"/>
      <c r="T136" s="37"/>
      <c r="U136" s="947"/>
      <c r="V136" s="37"/>
      <c r="W136" s="37"/>
      <c r="X136" s="37"/>
      <c r="Y136" s="37"/>
      <c r="Z136" s="37"/>
      <c r="AA136" s="572"/>
      <c r="AB136" s="963"/>
      <c r="AC136" s="963"/>
      <c r="AD136" s="963"/>
      <c r="AE136" s="963"/>
      <c r="AF136" s="36">
        <v>11</v>
      </c>
    </row>
    <row r="137" s="36" customFormat="1" ht="11.55" customHeight="1" spans="1:32">
      <c r="A137" s="946"/>
      <c r="B137" s="43"/>
      <c r="C137" s="43"/>
      <c r="K137" s="37"/>
      <c r="L137" s="43"/>
      <c r="M137" s="43"/>
      <c r="N137" s="37"/>
      <c r="O137" s="37"/>
      <c r="P137" s="37"/>
      <c r="Q137" s="37"/>
      <c r="R137" s="43"/>
      <c r="S137" s="37"/>
      <c r="T137" s="37"/>
      <c r="U137" s="947"/>
      <c r="V137" s="37"/>
      <c r="W137" s="37"/>
      <c r="X137" s="37"/>
      <c r="Y137" s="37"/>
      <c r="Z137" s="37"/>
      <c r="AA137" s="572"/>
      <c r="AB137" s="963"/>
      <c r="AC137" s="963"/>
      <c r="AD137" s="963"/>
      <c r="AE137" s="963"/>
      <c r="AF137" s="36">
        <v>11</v>
      </c>
    </row>
    <row r="138" s="36" customFormat="1" ht="11.55" customHeight="1" spans="1:32">
      <c r="A138" s="946"/>
      <c r="B138" s="43"/>
      <c r="C138" s="43"/>
      <c r="K138" s="37"/>
      <c r="L138" s="43"/>
      <c r="M138" s="43"/>
      <c r="N138" s="37"/>
      <c r="O138" s="37"/>
      <c r="P138" s="37"/>
      <c r="Q138" s="37"/>
      <c r="R138" s="43"/>
      <c r="S138" s="37"/>
      <c r="T138" s="37"/>
      <c r="U138" s="947"/>
      <c r="V138" s="37"/>
      <c r="W138" s="37"/>
      <c r="X138" s="37"/>
      <c r="Y138" s="37"/>
      <c r="Z138" s="37"/>
      <c r="AA138" s="572"/>
      <c r="AB138" s="963"/>
      <c r="AC138" s="963"/>
      <c r="AD138" s="963"/>
      <c r="AE138" s="963"/>
      <c r="AF138" s="36">
        <v>11</v>
      </c>
    </row>
    <row r="139" s="36" customFormat="1" ht="11.55" customHeight="1" spans="1:32">
      <c r="A139" s="946"/>
      <c r="B139" s="43"/>
      <c r="C139" s="43"/>
      <c r="K139" s="37"/>
      <c r="L139" s="43"/>
      <c r="M139" s="43"/>
      <c r="N139" s="37"/>
      <c r="O139" s="37"/>
      <c r="P139" s="37"/>
      <c r="Q139" s="37"/>
      <c r="R139" s="43"/>
      <c r="S139" s="37"/>
      <c r="T139" s="37"/>
      <c r="U139" s="947"/>
      <c r="V139" s="37"/>
      <c r="W139" s="37"/>
      <c r="X139" s="37"/>
      <c r="Y139" s="37"/>
      <c r="Z139" s="37"/>
      <c r="AA139" s="572"/>
      <c r="AB139" s="963"/>
      <c r="AC139" s="963"/>
      <c r="AD139" s="963"/>
      <c r="AE139" s="963"/>
      <c r="AF139" s="36">
        <v>11</v>
      </c>
    </row>
    <row r="140" s="36" customFormat="1" ht="11.55" customHeight="1" spans="1:32">
      <c r="A140" s="946"/>
      <c r="B140" s="43"/>
      <c r="C140" s="43"/>
      <c r="K140" s="37"/>
      <c r="L140" s="43"/>
      <c r="M140" s="43"/>
      <c r="N140" s="37"/>
      <c r="O140" s="37"/>
      <c r="P140" s="37"/>
      <c r="Q140" s="37"/>
      <c r="R140" s="43"/>
      <c r="S140" s="37"/>
      <c r="T140" s="37"/>
      <c r="U140" s="947"/>
      <c r="V140" s="37"/>
      <c r="W140" s="37"/>
      <c r="X140" s="37"/>
      <c r="Y140" s="37"/>
      <c r="Z140" s="37"/>
      <c r="AA140" s="572"/>
      <c r="AB140" s="963"/>
      <c r="AC140" s="963"/>
      <c r="AD140" s="963"/>
      <c r="AE140" s="963"/>
      <c r="AF140" s="36">
        <v>11</v>
      </c>
    </row>
    <row r="141" s="36" customFormat="1" ht="11.55" customHeight="1" spans="1:32">
      <c r="A141" s="946"/>
      <c r="B141" s="43"/>
      <c r="C141" s="43"/>
      <c r="K141" s="37"/>
      <c r="L141" s="43"/>
      <c r="M141" s="43"/>
      <c r="N141" s="37"/>
      <c r="O141" s="37"/>
      <c r="P141" s="37"/>
      <c r="Q141" s="37"/>
      <c r="R141" s="43"/>
      <c r="S141" s="37"/>
      <c r="T141" s="37"/>
      <c r="U141" s="947"/>
      <c r="V141" s="37"/>
      <c r="W141" s="37"/>
      <c r="X141" s="37"/>
      <c r="Y141" s="37"/>
      <c r="Z141" s="37"/>
      <c r="AA141" s="572"/>
      <c r="AB141" s="963"/>
      <c r="AC141" s="963"/>
      <c r="AD141" s="963"/>
      <c r="AE141" s="963"/>
      <c r="AF141" s="36">
        <v>11</v>
      </c>
    </row>
    <row r="142" s="36" customFormat="1" ht="11.55" customHeight="1" spans="1:32">
      <c r="A142" s="946"/>
      <c r="B142" s="43"/>
      <c r="C142" s="43"/>
      <c r="K142" s="37"/>
      <c r="L142" s="43"/>
      <c r="M142" s="43"/>
      <c r="N142" s="37"/>
      <c r="O142" s="37"/>
      <c r="P142" s="37"/>
      <c r="Q142" s="37"/>
      <c r="R142" s="43"/>
      <c r="S142" s="37"/>
      <c r="T142" s="37"/>
      <c r="U142" s="947"/>
      <c r="V142" s="37"/>
      <c r="W142" s="37"/>
      <c r="X142" s="37"/>
      <c r="Y142" s="37"/>
      <c r="Z142" s="37"/>
      <c r="AA142" s="572"/>
      <c r="AB142" s="963"/>
      <c r="AC142" s="963"/>
      <c r="AD142" s="963"/>
      <c r="AE142" s="963"/>
      <c r="AF142" s="36">
        <v>11</v>
      </c>
    </row>
    <row r="143" s="36" customFormat="1" ht="11.55" customHeight="1" spans="1:32">
      <c r="A143" s="946"/>
      <c r="B143" s="43"/>
      <c r="C143" s="43"/>
      <c r="K143" s="37"/>
      <c r="L143" s="43"/>
      <c r="M143" s="43"/>
      <c r="N143" s="37"/>
      <c r="O143" s="37"/>
      <c r="P143" s="37"/>
      <c r="Q143" s="37"/>
      <c r="R143" s="43"/>
      <c r="S143" s="37"/>
      <c r="T143" s="37"/>
      <c r="U143" s="947"/>
      <c r="V143" s="37"/>
      <c r="W143" s="37"/>
      <c r="X143" s="37"/>
      <c r="Y143" s="37"/>
      <c r="Z143" s="37"/>
      <c r="AA143" s="572"/>
      <c r="AB143" s="963"/>
      <c r="AC143" s="963"/>
      <c r="AD143" s="963"/>
      <c r="AE143" s="963"/>
      <c r="AF143" s="36">
        <v>11</v>
      </c>
    </row>
    <row r="144" s="36" customFormat="1" ht="11.55" customHeight="1" spans="1:32">
      <c r="A144" s="946"/>
      <c r="B144" s="43"/>
      <c r="C144" s="43"/>
      <c r="K144" s="37"/>
      <c r="L144" s="43"/>
      <c r="M144" s="43"/>
      <c r="N144" s="37"/>
      <c r="O144" s="37"/>
      <c r="P144" s="37"/>
      <c r="Q144" s="37"/>
      <c r="R144" s="43"/>
      <c r="S144" s="37"/>
      <c r="T144" s="37"/>
      <c r="U144" s="947"/>
      <c r="V144" s="37"/>
      <c r="W144" s="37"/>
      <c r="X144" s="37"/>
      <c r="Y144" s="37"/>
      <c r="Z144" s="37"/>
      <c r="AA144" s="572"/>
      <c r="AB144" s="963"/>
      <c r="AC144" s="963"/>
      <c r="AD144" s="963"/>
      <c r="AE144" s="963"/>
      <c r="AF144" s="36">
        <v>11</v>
      </c>
    </row>
    <row r="145" s="36" customFormat="1" ht="11.55" customHeight="1" spans="1:32">
      <c r="A145" s="946"/>
      <c r="B145" s="43"/>
      <c r="C145" s="43"/>
      <c r="K145" s="37"/>
      <c r="L145" s="43"/>
      <c r="M145" s="43"/>
      <c r="N145" s="37"/>
      <c r="O145" s="37"/>
      <c r="P145" s="37"/>
      <c r="Q145" s="37"/>
      <c r="R145" s="43"/>
      <c r="S145" s="37"/>
      <c r="T145" s="37"/>
      <c r="U145" s="947"/>
      <c r="V145" s="37"/>
      <c r="W145" s="37"/>
      <c r="X145" s="37"/>
      <c r="Y145" s="37"/>
      <c r="Z145" s="37"/>
      <c r="AA145" s="572"/>
      <c r="AB145" s="963"/>
      <c r="AC145" s="963"/>
      <c r="AD145" s="963"/>
      <c r="AE145" s="963"/>
      <c r="AF145" s="36">
        <v>11</v>
      </c>
    </row>
    <row r="146" s="36" customFormat="1" ht="11.55" customHeight="1" spans="1:32">
      <c r="A146" s="946"/>
      <c r="B146" s="43"/>
      <c r="C146" s="43"/>
      <c r="K146" s="37"/>
      <c r="L146" s="43"/>
      <c r="M146" s="43"/>
      <c r="N146" s="37"/>
      <c r="O146" s="37"/>
      <c r="P146" s="37"/>
      <c r="Q146" s="37"/>
      <c r="R146" s="43"/>
      <c r="S146" s="37"/>
      <c r="T146" s="37"/>
      <c r="U146" s="947"/>
      <c r="V146" s="37"/>
      <c r="W146" s="37"/>
      <c r="X146" s="37"/>
      <c r="Y146" s="37"/>
      <c r="Z146" s="37"/>
      <c r="AA146" s="572"/>
      <c r="AB146" s="963"/>
      <c r="AC146" s="963"/>
      <c r="AD146" s="963"/>
      <c r="AE146" s="963"/>
      <c r="AF146" s="36">
        <v>11</v>
      </c>
    </row>
    <row r="147" s="36" customFormat="1" ht="11.55" customHeight="1" spans="1:32">
      <c r="A147" s="946"/>
      <c r="B147" s="43"/>
      <c r="C147" s="43"/>
      <c r="K147" s="37"/>
      <c r="L147" s="43"/>
      <c r="M147" s="43"/>
      <c r="N147" s="37"/>
      <c r="O147" s="37"/>
      <c r="P147" s="37"/>
      <c r="Q147" s="37"/>
      <c r="R147" s="43"/>
      <c r="S147" s="37"/>
      <c r="T147" s="37"/>
      <c r="U147" s="947"/>
      <c r="V147" s="37"/>
      <c r="W147" s="37"/>
      <c r="X147" s="37"/>
      <c r="Y147" s="37"/>
      <c r="Z147" s="37"/>
      <c r="AA147" s="572"/>
      <c r="AB147" s="963"/>
      <c r="AC147" s="963"/>
      <c r="AD147" s="963"/>
      <c r="AE147" s="963"/>
      <c r="AF147" s="36">
        <v>11</v>
      </c>
    </row>
    <row r="148" s="36" customFormat="1" ht="11.55" customHeight="1" spans="1:32">
      <c r="A148" s="946"/>
      <c r="B148" s="43"/>
      <c r="C148" s="43"/>
      <c r="K148" s="37"/>
      <c r="L148" s="43"/>
      <c r="M148" s="43"/>
      <c r="N148" s="37"/>
      <c r="O148" s="37"/>
      <c r="P148" s="37"/>
      <c r="Q148" s="37"/>
      <c r="R148" s="43"/>
      <c r="S148" s="37"/>
      <c r="T148" s="37"/>
      <c r="U148" s="947"/>
      <c r="V148" s="37"/>
      <c r="W148" s="37"/>
      <c r="X148" s="37"/>
      <c r="Y148" s="37"/>
      <c r="Z148" s="37"/>
      <c r="AA148" s="572"/>
      <c r="AB148" s="963"/>
      <c r="AC148" s="963"/>
      <c r="AD148" s="963"/>
      <c r="AE148" s="963"/>
      <c r="AF148" s="36">
        <v>11</v>
      </c>
    </row>
    <row r="149" s="36" customFormat="1" ht="11.55" customHeight="1" spans="1:32">
      <c r="A149" s="946"/>
      <c r="B149" s="43"/>
      <c r="C149" s="43"/>
      <c r="K149" s="37"/>
      <c r="L149" s="43"/>
      <c r="M149" s="43"/>
      <c r="N149" s="37"/>
      <c r="O149" s="37"/>
      <c r="P149" s="37"/>
      <c r="Q149" s="37"/>
      <c r="R149" s="43"/>
      <c r="S149" s="37"/>
      <c r="T149" s="37"/>
      <c r="U149" s="947"/>
      <c r="V149" s="37"/>
      <c r="W149" s="37"/>
      <c r="X149" s="37"/>
      <c r="Y149" s="37"/>
      <c r="Z149" s="37"/>
      <c r="AA149" s="572"/>
      <c r="AB149" s="963"/>
      <c r="AC149" s="963"/>
      <c r="AD149" s="963"/>
      <c r="AE149" s="963"/>
      <c r="AF149" s="36">
        <v>11</v>
      </c>
    </row>
    <row r="150" s="36" customFormat="1" ht="11.55" customHeight="1" spans="1:32">
      <c r="A150" s="946"/>
      <c r="B150" s="43"/>
      <c r="C150" s="43"/>
      <c r="K150" s="37"/>
      <c r="L150" s="43"/>
      <c r="M150" s="43"/>
      <c r="N150" s="37"/>
      <c r="O150" s="37"/>
      <c r="P150" s="37"/>
      <c r="Q150" s="37"/>
      <c r="R150" s="43"/>
      <c r="S150" s="37"/>
      <c r="T150" s="37"/>
      <c r="U150" s="947"/>
      <c r="V150" s="37"/>
      <c r="W150" s="37"/>
      <c r="X150" s="37"/>
      <c r="Y150" s="37"/>
      <c r="Z150" s="37"/>
      <c r="AA150" s="572"/>
      <c r="AB150" s="963"/>
      <c r="AC150" s="963"/>
      <c r="AD150" s="963"/>
      <c r="AE150" s="963"/>
      <c r="AF150" s="36">
        <v>11</v>
      </c>
    </row>
    <row r="151" s="36" customFormat="1" ht="11.55" customHeight="1" spans="1:32">
      <c r="A151" s="946"/>
      <c r="B151" s="43"/>
      <c r="C151" s="43"/>
      <c r="K151" s="37"/>
      <c r="L151" s="43"/>
      <c r="M151" s="43"/>
      <c r="N151" s="37"/>
      <c r="O151" s="37"/>
      <c r="P151" s="37"/>
      <c r="Q151" s="37"/>
      <c r="R151" s="43"/>
      <c r="S151" s="37"/>
      <c r="T151" s="37"/>
      <c r="U151" s="947"/>
      <c r="V151" s="37"/>
      <c r="W151" s="37"/>
      <c r="X151" s="37"/>
      <c r="Y151" s="37"/>
      <c r="Z151" s="37"/>
      <c r="AA151" s="572"/>
      <c r="AB151" s="963"/>
      <c r="AC151" s="963"/>
      <c r="AD151" s="963"/>
      <c r="AE151" s="963"/>
      <c r="AF151" s="36">
        <v>11</v>
      </c>
    </row>
    <row r="152" s="36" customFormat="1" ht="11.55" customHeight="1" spans="1:32">
      <c r="A152" s="946"/>
      <c r="B152" s="43"/>
      <c r="C152" s="43"/>
      <c r="K152" s="37"/>
      <c r="L152" s="43"/>
      <c r="M152" s="43"/>
      <c r="N152" s="37"/>
      <c r="O152" s="37"/>
      <c r="P152" s="37"/>
      <c r="Q152" s="37"/>
      <c r="R152" s="43"/>
      <c r="S152" s="37"/>
      <c r="T152" s="37"/>
      <c r="U152" s="947"/>
      <c r="V152" s="37"/>
      <c r="W152" s="37"/>
      <c r="X152" s="37"/>
      <c r="Y152" s="37"/>
      <c r="Z152" s="37"/>
      <c r="AA152" s="572"/>
      <c r="AB152" s="963"/>
      <c r="AC152" s="963"/>
      <c r="AD152" s="963"/>
      <c r="AE152" s="963"/>
      <c r="AF152" s="36">
        <v>11</v>
      </c>
    </row>
    <row r="153" s="36" customFormat="1" ht="11.55" customHeight="1" spans="1:32">
      <c r="A153" s="946"/>
      <c r="B153" s="43"/>
      <c r="C153" s="43"/>
      <c r="K153" s="37"/>
      <c r="L153" s="43"/>
      <c r="M153" s="43"/>
      <c r="N153" s="37"/>
      <c r="O153" s="37"/>
      <c r="P153" s="37"/>
      <c r="Q153" s="37"/>
      <c r="R153" s="43"/>
      <c r="S153" s="37"/>
      <c r="T153" s="37"/>
      <c r="U153" s="947"/>
      <c r="V153" s="37"/>
      <c r="W153" s="37"/>
      <c r="X153" s="37"/>
      <c r="Y153" s="37"/>
      <c r="Z153" s="37"/>
      <c r="AA153" s="572"/>
      <c r="AB153" s="963"/>
      <c r="AC153" s="963"/>
      <c r="AD153" s="963"/>
      <c r="AE153" s="963"/>
      <c r="AF153" s="36">
        <v>11</v>
      </c>
    </row>
    <row r="154" s="36" customFormat="1" ht="11.55" customHeight="1" spans="1:32">
      <c r="A154" s="946"/>
      <c r="B154" s="43"/>
      <c r="C154" s="43"/>
      <c r="K154" s="37"/>
      <c r="L154" s="43"/>
      <c r="M154" s="43"/>
      <c r="N154" s="37"/>
      <c r="O154" s="37"/>
      <c r="P154" s="37"/>
      <c r="Q154" s="37"/>
      <c r="R154" s="43"/>
      <c r="S154" s="37"/>
      <c r="T154" s="37"/>
      <c r="U154" s="947"/>
      <c r="V154" s="37"/>
      <c r="W154" s="37"/>
      <c r="X154" s="37"/>
      <c r="Y154" s="37"/>
      <c r="Z154" s="37"/>
      <c r="AA154" s="572"/>
      <c r="AB154" s="963"/>
      <c r="AC154" s="963"/>
      <c r="AD154" s="963"/>
      <c r="AE154" s="963"/>
      <c r="AF154" s="36">
        <v>11</v>
      </c>
    </row>
    <row r="155" s="36" customFormat="1" ht="11.55" customHeight="1" spans="1:32">
      <c r="A155" s="946"/>
      <c r="B155" s="43"/>
      <c r="C155" s="43"/>
      <c r="K155" s="37"/>
      <c r="L155" s="43"/>
      <c r="M155" s="43"/>
      <c r="N155" s="37"/>
      <c r="O155" s="37"/>
      <c r="P155" s="37"/>
      <c r="Q155" s="37"/>
      <c r="R155" s="43"/>
      <c r="S155" s="37"/>
      <c r="T155" s="37"/>
      <c r="U155" s="947"/>
      <c r="V155" s="37"/>
      <c r="W155" s="37"/>
      <c r="X155" s="37"/>
      <c r="Y155" s="37"/>
      <c r="Z155" s="37"/>
      <c r="AA155" s="572"/>
      <c r="AB155" s="963"/>
      <c r="AC155" s="963"/>
      <c r="AD155" s="963"/>
      <c r="AE155" s="963"/>
      <c r="AF155" s="36">
        <v>11</v>
      </c>
    </row>
    <row r="156" s="36" customFormat="1" ht="11.55" customHeight="1" spans="1:32">
      <c r="A156" s="946"/>
      <c r="B156" s="43"/>
      <c r="C156" s="43"/>
      <c r="K156" s="37"/>
      <c r="L156" s="43"/>
      <c r="M156" s="43"/>
      <c r="N156" s="37"/>
      <c r="O156" s="37"/>
      <c r="P156" s="37"/>
      <c r="Q156" s="37"/>
      <c r="R156" s="43"/>
      <c r="S156" s="37"/>
      <c r="T156" s="37"/>
      <c r="U156" s="947"/>
      <c r="V156" s="37"/>
      <c r="W156" s="37"/>
      <c r="X156" s="37"/>
      <c r="Y156" s="37"/>
      <c r="Z156" s="37"/>
      <c r="AA156" s="572"/>
      <c r="AB156" s="963"/>
      <c r="AC156" s="963"/>
      <c r="AD156" s="963"/>
      <c r="AE156" s="963"/>
      <c r="AF156" s="36">
        <v>11</v>
      </c>
    </row>
    <row r="157" s="36" customFormat="1" ht="11.55" customHeight="1" spans="1:32">
      <c r="A157" s="946"/>
      <c r="B157" s="43"/>
      <c r="C157" s="43"/>
      <c r="K157" s="37"/>
      <c r="L157" s="43"/>
      <c r="M157" s="43"/>
      <c r="N157" s="37"/>
      <c r="O157" s="37"/>
      <c r="P157" s="37"/>
      <c r="Q157" s="37"/>
      <c r="R157" s="43"/>
      <c r="S157" s="37"/>
      <c r="T157" s="37"/>
      <c r="U157" s="947"/>
      <c r="V157" s="37"/>
      <c r="W157" s="37"/>
      <c r="X157" s="37"/>
      <c r="Y157" s="37"/>
      <c r="Z157" s="37"/>
      <c r="AA157" s="572"/>
      <c r="AB157" s="963"/>
      <c r="AC157" s="963"/>
      <c r="AD157" s="963"/>
      <c r="AE157" s="963"/>
      <c r="AF157" s="36">
        <v>11</v>
      </c>
    </row>
    <row r="158" s="36" customFormat="1" ht="11.55" customHeight="1" spans="1:32">
      <c r="A158" s="946"/>
      <c r="B158" s="43"/>
      <c r="C158" s="43"/>
      <c r="K158" s="37"/>
      <c r="L158" s="43"/>
      <c r="M158" s="43"/>
      <c r="N158" s="37"/>
      <c r="O158" s="37"/>
      <c r="P158" s="37"/>
      <c r="Q158" s="37"/>
      <c r="R158" s="43"/>
      <c r="S158" s="37"/>
      <c r="T158" s="37"/>
      <c r="U158" s="947"/>
      <c r="V158" s="37"/>
      <c r="W158" s="37"/>
      <c r="X158" s="37"/>
      <c r="Y158" s="37"/>
      <c r="Z158" s="37"/>
      <c r="AA158" s="572"/>
      <c r="AB158" s="963"/>
      <c r="AC158" s="963"/>
      <c r="AD158" s="963"/>
      <c r="AE158" s="963"/>
      <c r="AF158" s="36">
        <v>11</v>
      </c>
    </row>
    <row r="159" s="36" customFormat="1" ht="11.55" customHeight="1" spans="1:32">
      <c r="A159" s="946"/>
      <c r="B159" s="43"/>
      <c r="C159" s="43"/>
      <c r="K159" s="37"/>
      <c r="L159" s="43"/>
      <c r="M159" s="43"/>
      <c r="N159" s="37"/>
      <c r="O159" s="37"/>
      <c r="P159" s="37"/>
      <c r="Q159" s="37"/>
      <c r="R159" s="43"/>
      <c r="S159" s="37"/>
      <c r="T159" s="37"/>
      <c r="U159" s="947"/>
      <c r="V159" s="37"/>
      <c r="W159" s="37"/>
      <c r="X159" s="37"/>
      <c r="Y159" s="37"/>
      <c r="Z159" s="37"/>
      <c r="AA159" s="572"/>
      <c r="AB159" s="963"/>
      <c r="AC159" s="963"/>
      <c r="AD159" s="963"/>
      <c r="AE159" s="963"/>
      <c r="AF159" s="36">
        <v>11</v>
      </c>
    </row>
    <row r="160" s="36" customFormat="1" ht="11.55" customHeight="1" spans="1:32">
      <c r="A160" s="946"/>
      <c r="B160" s="43"/>
      <c r="C160" s="43"/>
      <c r="K160" s="37"/>
      <c r="L160" s="43"/>
      <c r="M160" s="43"/>
      <c r="N160" s="37"/>
      <c r="O160" s="37"/>
      <c r="P160" s="37"/>
      <c r="Q160" s="37"/>
      <c r="R160" s="43"/>
      <c r="S160" s="37"/>
      <c r="T160" s="37"/>
      <c r="U160" s="947"/>
      <c r="V160" s="37"/>
      <c r="W160" s="37"/>
      <c r="X160" s="37"/>
      <c r="Y160" s="37"/>
      <c r="Z160" s="37"/>
      <c r="AA160" s="572"/>
      <c r="AB160" s="963"/>
      <c r="AC160" s="963"/>
      <c r="AD160" s="963"/>
      <c r="AE160" s="963"/>
      <c r="AF160" s="36">
        <v>11</v>
      </c>
    </row>
    <row r="161" s="36" customFormat="1" ht="11.55" customHeight="1" spans="1:32">
      <c r="A161" s="946"/>
      <c r="B161" s="43"/>
      <c r="C161" s="43"/>
      <c r="K161" s="37"/>
      <c r="L161" s="43"/>
      <c r="M161" s="43"/>
      <c r="N161" s="37"/>
      <c r="O161" s="37"/>
      <c r="P161" s="37"/>
      <c r="Q161" s="37"/>
      <c r="R161" s="43"/>
      <c r="S161" s="37"/>
      <c r="T161" s="37"/>
      <c r="U161" s="947"/>
      <c r="V161" s="37"/>
      <c r="W161" s="37"/>
      <c r="X161" s="37"/>
      <c r="Y161" s="37"/>
      <c r="Z161" s="37"/>
      <c r="AA161" s="572"/>
      <c r="AB161" s="963"/>
      <c r="AC161" s="963"/>
      <c r="AD161" s="963"/>
      <c r="AE161" s="963"/>
      <c r="AF161" s="36">
        <v>11</v>
      </c>
    </row>
    <row r="162" s="36" customFormat="1" ht="11.55" customHeight="1" spans="1:32">
      <c r="A162" s="946"/>
      <c r="B162" s="43"/>
      <c r="C162" s="43"/>
      <c r="K162" s="37"/>
      <c r="L162" s="43"/>
      <c r="M162" s="43"/>
      <c r="N162" s="37"/>
      <c r="O162" s="37"/>
      <c r="P162" s="37"/>
      <c r="Q162" s="37"/>
      <c r="R162" s="43"/>
      <c r="S162" s="37"/>
      <c r="T162" s="37"/>
      <c r="U162" s="947"/>
      <c r="V162" s="37"/>
      <c r="W162" s="37"/>
      <c r="X162" s="37"/>
      <c r="Y162" s="37"/>
      <c r="Z162" s="37"/>
      <c r="AA162" s="572"/>
      <c r="AB162" s="963"/>
      <c r="AC162" s="963"/>
      <c r="AD162" s="963"/>
      <c r="AE162" s="963"/>
      <c r="AF162" s="36">
        <v>11</v>
      </c>
    </row>
    <row r="163" s="36" customFormat="1" ht="11.55" customHeight="1" spans="1:32">
      <c r="A163" s="946"/>
      <c r="B163" s="43"/>
      <c r="C163" s="43"/>
      <c r="K163" s="37"/>
      <c r="L163" s="43"/>
      <c r="M163" s="43"/>
      <c r="N163" s="37"/>
      <c r="O163" s="37"/>
      <c r="P163" s="37"/>
      <c r="Q163" s="37"/>
      <c r="R163" s="43"/>
      <c r="S163" s="37"/>
      <c r="T163" s="37"/>
      <c r="U163" s="947"/>
      <c r="V163" s="37"/>
      <c r="W163" s="37"/>
      <c r="X163" s="37"/>
      <c r="Y163" s="37"/>
      <c r="Z163" s="37"/>
      <c r="AA163" s="572"/>
      <c r="AB163" s="963"/>
      <c r="AC163" s="963"/>
      <c r="AD163" s="963"/>
      <c r="AE163" s="963"/>
      <c r="AF163" s="36">
        <v>11</v>
      </c>
    </row>
    <row r="164" s="36" customFormat="1" ht="11.55" customHeight="1" spans="1:32">
      <c r="A164" s="946"/>
      <c r="B164" s="43"/>
      <c r="C164" s="43"/>
      <c r="K164" s="37"/>
      <c r="L164" s="43"/>
      <c r="M164" s="43"/>
      <c r="N164" s="37"/>
      <c r="O164" s="37"/>
      <c r="P164" s="37"/>
      <c r="Q164" s="37"/>
      <c r="R164" s="43"/>
      <c r="S164" s="37"/>
      <c r="T164" s="37"/>
      <c r="U164" s="947"/>
      <c r="V164" s="37"/>
      <c r="W164" s="37"/>
      <c r="X164" s="37"/>
      <c r="Y164" s="37"/>
      <c r="Z164" s="37"/>
      <c r="AA164" s="572"/>
      <c r="AB164" s="963"/>
      <c r="AC164" s="963"/>
      <c r="AD164" s="963"/>
      <c r="AE164" s="963"/>
      <c r="AF164" s="36">
        <v>11</v>
      </c>
    </row>
    <row r="165" s="36" customFormat="1" ht="11.55" customHeight="1" spans="1:32">
      <c r="A165" s="946"/>
      <c r="B165" s="43"/>
      <c r="C165" s="43"/>
      <c r="K165" s="37"/>
      <c r="L165" s="43"/>
      <c r="M165" s="43"/>
      <c r="N165" s="37"/>
      <c r="O165" s="37"/>
      <c r="P165" s="37"/>
      <c r="Q165" s="37"/>
      <c r="R165" s="43"/>
      <c r="S165" s="37"/>
      <c r="T165" s="37"/>
      <c r="U165" s="947"/>
      <c r="V165" s="37"/>
      <c r="W165" s="37"/>
      <c r="X165" s="37"/>
      <c r="Y165" s="37"/>
      <c r="Z165" s="37"/>
      <c r="AA165" s="572"/>
      <c r="AB165" s="963"/>
      <c r="AC165" s="963"/>
      <c r="AD165" s="963"/>
      <c r="AE165" s="963"/>
      <c r="AF165" s="36">
        <v>11</v>
      </c>
    </row>
    <row r="166" s="36" customFormat="1" ht="11.55" customHeight="1" spans="1:32">
      <c r="A166" s="946"/>
      <c r="B166" s="43"/>
      <c r="C166" s="43"/>
      <c r="K166" s="37"/>
      <c r="L166" s="43"/>
      <c r="M166" s="43"/>
      <c r="N166" s="37"/>
      <c r="O166" s="37"/>
      <c r="P166" s="37"/>
      <c r="Q166" s="37"/>
      <c r="R166" s="43"/>
      <c r="S166" s="37"/>
      <c r="T166" s="37"/>
      <c r="U166" s="947"/>
      <c r="V166" s="37"/>
      <c r="W166" s="37"/>
      <c r="X166" s="37"/>
      <c r="Y166" s="37"/>
      <c r="Z166" s="37"/>
      <c r="AA166" s="572"/>
      <c r="AB166" s="963"/>
      <c r="AC166" s="963"/>
      <c r="AD166" s="963"/>
      <c r="AE166" s="963"/>
      <c r="AF166" s="36">
        <v>11</v>
      </c>
    </row>
    <row r="167" s="36" customFormat="1" ht="11.55" customHeight="1" spans="1:32">
      <c r="A167" s="946"/>
      <c r="B167" s="43"/>
      <c r="C167" s="43"/>
      <c r="K167" s="37"/>
      <c r="L167" s="43"/>
      <c r="M167" s="43"/>
      <c r="N167" s="37"/>
      <c r="O167" s="37"/>
      <c r="P167" s="37"/>
      <c r="Q167" s="37"/>
      <c r="R167" s="43"/>
      <c r="S167" s="37"/>
      <c r="T167" s="37"/>
      <c r="U167" s="947"/>
      <c r="V167" s="37"/>
      <c r="W167" s="37"/>
      <c r="X167" s="37"/>
      <c r="Y167" s="37"/>
      <c r="Z167" s="37"/>
      <c r="AA167" s="572"/>
      <c r="AB167" s="963"/>
      <c r="AC167" s="963"/>
      <c r="AD167" s="963"/>
      <c r="AE167" s="963"/>
      <c r="AF167" s="36">
        <v>11</v>
      </c>
    </row>
    <row r="168" s="36" customFormat="1" ht="11.55" customHeight="1" spans="1:32">
      <c r="A168" s="946"/>
      <c r="B168" s="43"/>
      <c r="C168" s="43"/>
      <c r="K168" s="37"/>
      <c r="L168" s="43"/>
      <c r="M168" s="43"/>
      <c r="N168" s="37"/>
      <c r="O168" s="37"/>
      <c r="P168" s="37"/>
      <c r="Q168" s="37"/>
      <c r="R168" s="43"/>
      <c r="S168" s="37"/>
      <c r="T168" s="37"/>
      <c r="U168" s="947"/>
      <c r="V168" s="37"/>
      <c r="W168" s="37"/>
      <c r="X168" s="37"/>
      <c r="Y168" s="37"/>
      <c r="Z168" s="37"/>
      <c r="AA168" s="572"/>
      <c r="AB168" s="963"/>
      <c r="AC168" s="963"/>
      <c r="AD168" s="963"/>
      <c r="AE168" s="963"/>
      <c r="AF168" s="36">
        <v>11</v>
      </c>
    </row>
    <row r="169" s="36" customFormat="1" ht="11.55" customHeight="1" spans="1:32">
      <c r="A169" s="946"/>
      <c r="B169" s="43"/>
      <c r="C169" s="43"/>
      <c r="K169" s="37"/>
      <c r="L169" s="43"/>
      <c r="M169" s="43"/>
      <c r="N169" s="37"/>
      <c r="O169" s="37"/>
      <c r="P169" s="37"/>
      <c r="Q169" s="37"/>
      <c r="R169" s="43"/>
      <c r="S169" s="37"/>
      <c r="T169" s="37"/>
      <c r="U169" s="947"/>
      <c r="V169" s="37"/>
      <c r="W169" s="37"/>
      <c r="X169" s="37"/>
      <c r="Y169" s="37"/>
      <c r="Z169" s="37"/>
      <c r="AA169" s="572"/>
      <c r="AB169" s="963"/>
      <c r="AC169" s="963"/>
      <c r="AD169" s="963"/>
      <c r="AE169" s="963"/>
      <c r="AF169" s="36">
        <v>11</v>
      </c>
    </row>
    <row r="170" s="36" customFormat="1" ht="11.55" customHeight="1" spans="1:32">
      <c r="A170" s="946"/>
      <c r="B170" s="43"/>
      <c r="C170" s="43"/>
      <c r="K170" s="37"/>
      <c r="L170" s="43"/>
      <c r="M170" s="43"/>
      <c r="N170" s="37"/>
      <c r="O170" s="37"/>
      <c r="P170" s="37"/>
      <c r="Q170" s="37"/>
      <c r="R170" s="43"/>
      <c r="S170" s="37"/>
      <c r="T170" s="37"/>
      <c r="U170" s="947"/>
      <c r="V170" s="37"/>
      <c r="W170" s="37"/>
      <c r="X170" s="37"/>
      <c r="Y170" s="37"/>
      <c r="Z170" s="37"/>
      <c r="AA170" s="572"/>
      <c r="AB170" s="963"/>
      <c r="AC170" s="963"/>
      <c r="AD170" s="963"/>
      <c r="AE170" s="963"/>
      <c r="AF170" s="36">
        <v>11</v>
      </c>
    </row>
    <row r="171" s="36" customFormat="1" ht="11.55" customHeight="1" spans="1:32">
      <c r="A171" s="946"/>
      <c r="B171" s="43"/>
      <c r="C171" s="43"/>
      <c r="K171" s="37"/>
      <c r="L171" s="43"/>
      <c r="M171" s="43"/>
      <c r="N171" s="37"/>
      <c r="O171" s="37"/>
      <c r="P171" s="37"/>
      <c r="Q171" s="37"/>
      <c r="R171" s="43"/>
      <c r="S171" s="37"/>
      <c r="T171" s="37"/>
      <c r="U171" s="947"/>
      <c r="V171" s="37"/>
      <c r="W171" s="37"/>
      <c r="X171" s="37"/>
      <c r="Y171" s="37"/>
      <c r="Z171" s="37"/>
      <c r="AA171" s="572"/>
      <c r="AB171" s="963"/>
      <c r="AC171" s="963"/>
      <c r="AD171" s="963"/>
      <c r="AE171" s="963"/>
      <c r="AF171" s="36">
        <v>11</v>
      </c>
    </row>
    <row r="172" s="36" customFormat="1" ht="11.55" customHeight="1" spans="1:32">
      <c r="A172" s="946"/>
      <c r="B172" s="43"/>
      <c r="C172" s="43"/>
      <c r="K172" s="37"/>
      <c r="L172" s="43"/>
      <c r="M172" s="43"/>
      <c r="N172" s="37"/>
      <c r="O172" s="37"/>
      <c r="P172" s="37"/>
      <c r="Q172" s="37"/>
      <c r="R172" s="43"/>
      <c r="S172" s="37"/>
      <c r="T172" s="37"/>
      <c r="U172" s="947"/>
      <c r="V172" s="37"/>
      <c r="W172" s="37"/>
      <c r="X172" s="37"/>
      <c r="Y172" s="37"/>
      <c r="Z172" s="37"/>
      <c r="AA172" s="572"/>
      <c r="AB172" s="963"/>
      <c r="AC172" s="963"/>
      <c r="AD172" s="963"/>
      <c r="AE172" s="963"/>
      <c r="AF172" s="36">
        <v>11</v>
      </c>
    </row>
    <row r="173" s="36" customFormat="1" ht="11.55" customHeight="1" spans="1:32">
      <c r="A173" s="946"/>
      <c r="B173" s="43"/>
      <c r="C173" s="43"/>
      <c r="K173" s="37"/>
      <c r="L173" s="43"/>
      <c r="M173" s="43"/>
      <c r="N173" s="37"/>
      <c r="O173" s="37"/>
      <c r="P173" s="37"/>
      <c r="Q173" s="37"/>
      <c r="R173" s="43"/>
      <c r="S173" s="37"/>
      <c r="T173" s="37"/>
      <c r="U173" s="947"/>
      <c r="V173" s="37"/>
      <c r="W173" s="37"/>
      <c r="X173" s="37"/>
      <c r="Y173" s="37"/>
      <c r="Z173" s="37"/>
      <c r="AA173" s="572"/>
      <c r="AB173" s="963"/>
      <c r="AC173" s="963"/>
      <c r="AD173" s="963"/>
      <c r="AE173" s="963"/>
      <c r="AF173" s="36">
        <v>11</v>
      </c>
    </row>
    <row r="174" s="36" customFormat="1" ht="11.55" customHeight="1" spans="1:32">
      <c r="A174" s="946"/>
      <c r="B174" s="43"/>
      <c r="C174" s="43"/>
      <c r="K174" s="37"/>
      <c r="L174" s="43"/>
      <c r="M174" s="43"/>
      <c r="N174" s="37"/>
      <c r="O174" s="37"/>
      <c r="P174" s="37"/>
      <c r="Q174" s="37"/>
      <c r="R174" s="43"/>
      <c r="S174" s="37"/>
      <c r="T174" s="37"/>
      <c r="U174" s="947"/>
      <c r="V174" s="37"/>
      <c r="W174" s="37"/>
      <c r="X174" s="37"/>
      <c r="Y174" s="37"/>
      <c r="Z174" s="37"/>
      <c r="AA174" s="572"/>
      <c r="AB174" s="963"/>
      <c r="AC174" s="963"/>
      <c r="AD174" s="963"/>
      <c r="AE174" s="963"/>
      <c r="AF174" s="36">
        <v>11</v>
      </c>
    </row>
    <row r="175" s="36" customFormat="1" ht="11.55" customHeight="1" spans="1:32">
      <c r="A175" s="946"/>
      <c r="B175" s="43"/>
      <c r="C175" s="43"/>
      <c r="K175" s="37"/>
      <c r="L175" s="43"/>
      <c r="M175" s="43"/>
      <c r="N175" s="37"/>
      <c r="O175" s="37"/>
      <c r="P175" s="37"/>
      <c r="Q175" s="37"/>
      <c r="R175" s="43"/>
      <c r="S175" s="37"/>
      <c r="T175" s="37"/>
      <c r="U175" s="947"/>
      <c r="V175" s="37"/>
      <c r="W175" s="37"/>
      <c r="X175" s="37"/>
      <c r="Y175" s="37"/>
      <c r="Z175" s="37"/>
      <c r="AA175" s="572"/>
      <c r="AB175" s="963"/>
      <c r="AC175" s="963"/>
      <c r="AD175" s="963"/>
      <c r="AE175" s="963"/>
      <c r="AF175" s="36">
        <v>11</v>
      </c>
    </row>
    <row r="176" s="36" customFormat="1" ht="11.55" customHeight="1" spans="1:32">
      <c r="A176" s="946"/>
      <c r="B176" s="43"/>
      <c r="C176" s="43"/>
      <c r="K176" s="37"/>
      <c r="L176" s="43"/>
      <c r="M176" s="43"/>
      <c r="N176" s="37"/>
      <c r="O176" s="37"/>
      <c r="P176" s="37"/>
      <c r="Q176" s="37"/>
      <c r="R176" s="43"/>
      <c r="S176" s="37"/>
      <c r="T176" s="37"/>
      <c r="U176" s="947"/>
      <c r="V176" s="37"/>
      <c r="W176" s="37"/>
      <c r="X176" s="37"/>
      <c r="Y176" s="37"/>
      <c r="Z176" s="37"/>
      <c r="AA176" s="572"/>
      <c r="AB176" s="963"/>
      <c r="AC176" s="963"/>
      <c r="AD176" s="963"/>
      <c r="AE176" s="963"/>
      <c r="AF176" s="36">
        <v>11</v>
      </c>
    </row>
    <row r="177" s="36" customFormat="1" ht="11.55" customHeight="1" spans="1:32">
      <c r="A177" s="946"/>
      <c r="B177" s="43"/>
      <c r="C177" s="43"/>
      <c r="K177" s="37"/>
      <c r="L177" s="43"/>
      <c r="M177" s="43"/>
      <c r="N177" s="37"/>
      <c r="O177" s="37"/>
      <c r="P177" s="37"/>
      <c r="Q177" s="37"/>
      <c r="R177" s="43"/>
      <c r="S177" s="37"/>
      <c r="T177" s="37"/>
      <c r="U177" s="947"/>
      <c r="V177" s="37"/>
      <c r="W177" s="37"/>
      <c r="X177" s="37"/>
      <c r="Y177" s="37"/>
      <c r="Z177" s="37"/>
      <c r="AA177" s="572"/>
      <c r="AB177" s="963"/>
      <c r="AC177" s="963"/>
      <c r="AD177" s="963"/>
      <c r="AE177" s="963"/>
      <c r="AF177" s="36">
        <v>11</v>
      </c>
    </row>
    <row r="178" s="36" customFormat="1" ht="11.55" customHeight="1" spans="1:32">
      <c r="A178" s="946"/>
      <c r="B178" s="43"/>
      <c r="C178" s="43"/>
      <c r="K178" s="37"/>
      <c r="L178" s="43"/>
      <c r="M178" s="43"/>
      <c r="N178" s="37"/>
      <c r="O178" s="37"/>
      <c r="P178" s="37"/>
      <c r="Q178" s="37"/>
      <c r="R178" s="43"/>
      <c r="S178" s="37"/>
      <c r="T178" s="37"/>
      <c r="U178" s="947"/>
      <c r="V178" s="37"/>
      <c r="W178" s="37"/>
      <c r="X178" s="37"/>
      <c r="Y178" s="37"/>
      <c r="Z178" s="37"/>
      <c r="AA178" s="572"/>
      <c r="AB178" s="963"/>
      <c r="AC178" s="963"/>
      <c r="AD178" s="963"/>
      <c r="AE178" s="963"/>
      <c r="AF178" s="36">
        <v>11</v>
      </c>
    </row>
    <row r="179" s="36" customFormat="1" ht="11.55" customHeight="1" spans="1:32">
      <c r="A179" s="946"/>
      <c r="B179" s="43"/>
      <c r="C179" s="43"/>
      <c r="K179" s="37"/>
      <c r="L179" s="43"/>
      <c r="M179" s="43"/>
      <c r="N179" s="37"/>
      <c r="O179" s="37"/>
      <c r="P179" s="37"/>
      <c r="Q179" s="37"/>
      <c r="R179" s="43"/>
      <c r="S179" s="37"/>
      <c r="T179" s="37"/>
      <c r="U179" s="947"/>
      <c r="V179" s="37"/>
      <c r="W179" s="37"/>
      <c r="X179" s="37"/>
      <c r="Y179" s="37"/>
      <c r="Z179" s="37"/>
      <c r="AA179" s="572"/>
      <c r="AB179" s="963"/>
      <c r="AC179" s="963"/>
      <c r="AD179" s="963"/>
      <c r="AE179" s="963"/>
      <c r="AF179" s="36">
        <v>11</v>
      </c>
    </row>
    <row r="180" s="36" customFormat="1" ht="11.55" customHeight="1" spans="1:32">
      <c r="A180" s="946"/>
      <c r="B180" s="43"/>
      <c r="C180" s="43"/>
      <c r="K180" s="37"/>
      <c r="L180" s="43"/>
      <c r="M180" s="43"/>
      <c r="N180" s="37"/>
      <c r="O180" s="37"/>
      <c r="P180" s="37"/>
      <c r="Q180" s="37"/>
      <c r="R180" s="43"/>
      <c r="S180" s="37"/>
      <c r="T180" s="37"/>
      <c r="U180" s="947"/>
      <c r="V180" s="37"/>
      <c r="W180" s="37"/>
      <c r="X180" s="37"/>
      <c r="Y180" s="37"/>
      <c r="Z180" s="37"/>
      <c r="AA180" s="572"/>
      <c r="AB180" s="963"/>
      <c r="AC180" s="963"/>
      <c r="AD180" s="963"/>
      <c r="AE180" s="963"/>
      <c r="AF180" s="36">
        <v>11</v>
      </c>
    </row>
    <row r="181" s="36" customFormat="1" ht="11.55" customHeight="1" spans="1:32">
      <c r="A181" s="946"/>
      <c r="B181" s="43"/>
      <c r="C181" s="43"/>
      <c r="K181" s="37"/>
      <c r="L181" s="43"/>
      <c r="M181" s="43"/>
      <c r="N181" s="37"/>
      <c r="O181" s="37"/>
      <c r="P181" s="37"/>
      <c r="Q181" s="37"/>
      <c r="R181" s="43"/>
      <c r="S181" s="37"/>
      <c r="T181" s="37"/>
      <c r="U181" s="947"/>
      <c r="V181" s="37"/>
      <c r="W181" s="37"/>
      <c r="X181" s="37"/>
      <c r="Y181" s="37"/>
      <c r="Z181" s="37"/>
      <c r="AA181" s="572"/>
      <c r="AB181" s="963"/>
      <c r="AC181" s="963"/>
      <c r="AD181" s="963"/>
      <c r="AE181" s="963"/>
      <c r="AF181" s="36">
        <v>11</v>
      </c>
    </row>
    <row r="182" s="36" customFormat="1" ht="11.55" customHeight="1" spans="1:32">
      <c r="A182" s="946"/>
      <c r="B182" s="43"/>
      <c r="C182" s="43"/>
      <c r="K182" s="37"/>
      <c r="L182" s="43"/>
      <c r="M182" s="43"/>
      <c r="N182" s="37"/>
      <c r="O182" s="37"/>
      <c r="P182" s="37"/>
      <c r="Q182" s="37"/>
      <c r="R182" s="43"/>
      <c r="S182" s="37"/>
      <c r="T182" s="37"/>
      <c r="U182" s="947"/>
      <c r="V182" s="37"/>
      <c r="W182" s="37"/>
      <c r="X182" s="37"/>
      <c r="Y182" s="37"/>
      <c r="Z182" s="37"/>
      <c r="AA182" s="572"/>
      <c r="AB182" s="963"/>
      <c r="AC182" s="963"/>
      <c r="AD182" s="963"/>
      <c r="AE182" s="963"/>
      <c r="AF182" s="36">
        <v>11</v>
      </c>
    </row>
    <row r="183" s="36" customFormat="1" ht="11.55" customHeight="1" spans="1:32">
      <c r="A183" s="946"/>
      <c r="B183" s="43"/>
      <c r="C183" s="43"/>
      <c r="K183" s="37"/>
      <c r="L183" s="43"/>
      <c r="M183" s="43"/>
      <c r="N183" s="37"/>
      <c r="O183" s="37"/>
      <c r="P183" s="37"/>
      <c r="Q183" s="37"/>
      <c r="R183" s="43"/>
      <c r="S183" s="37"/>
      <c r="T183" s="37"/>
      <c r="U183" s="947"/>
      <c r="V183" s="37"/>
      <c r="W183" s="37"/>
      <c r="X183" s="37"/>
      <c r="Y183" s="37"/>
      <c r="Z183" s="37"/>
      <c r="AA183" s="572"/>
      <c r="AB183" s="963"/>
      <c r="AC183" s="963"/>
      <c r="AD183" s="963"/>
      <c r="AE183" s="963"/>
      <c r="AF183" s="36">
        <v>11</v>
      </c>
    </row>
    <row r="184" s="36" customFormat="1" ht="11.55" customHeight="1" spans="1:32">
      <c r="A184" s="946"/>
      <c r="B184" s="43"/>
      <c r="C184" s="43"/>
      <c r="K184" s="37"/>
      <c r="L184" s="43"/>
      <c r="M184" s="43"/>
      <c r="N184" s="37"/>
      <c r="O184" s="37"/>
      <c r="P184" s="37"/>
      <c r="Q184" s="37"/>
      <c r="R184" s="43"/>
      <c r="S184" s="37"/>
      <c r="T184" s="37"/>
      <c r="U184" s="947"/>
      <c r="V184" s="37"/>
      <c r="W184" s="37"/>
      <c r="X184" s="37"/>
      <c r="Y184" s="37"/>
      <c r="Z184" s="37"/>
      <c r="AA184" s="572"/>
      <c r="AB184" s="963"/>
      <c r="AC184" s="963"/>
      <c r="AD184" s="963"/>
      <c r="AE184" s="963"/>
      <c r="AF184" s="36">
        <v>11</v>
      </c>
    </row>
    <row r="185" s="36" customFormat="1" ht="11.55" customHeight="1" spans="1:32">
      <c r="A185" s="946"/>
      <c r="B185" s="43"/>
      <c r="C185" s="43"/>
      <c r="K185" s="37"/>
      <c r="L185" s="43"/>
      <c r="M185" s="43"/>
      <c r="N185" s="37"/>
      <c r="O185" s="37"/>
      <c r="P185" s="37"/>
      <c r="Q185" s="37"/>
      <c r="R185" s="43"/>
      <c r="S185" s="37"/>
      <c r="T185" s="37"/>
      <c r="U185" s="947"/>
      <c r="V185" s="37"/>
      <c r="W185" s="37"/>
      <c r="X185" s="37"/>
      <c r="Y185" s="37"/>
      <c r="Z185" s="37"/>
      <c r="AA185" s="572"/>
      <c r="AB185" s="963"/>
      <c r="AC185" s="963"/>
      <c r="AD185" s="963"/>
      <c r="AE185" s="963"/>
      <c r="AF185" s="36">
        <v>11</v>
      </c>
    </row>
    <row r="186" s="36" customFormat="1" ht="11.55" customHeight="1" spans="1:32">
      <c r="A186" s="946"/>
      <c r="B186" s="43"/>
      <c r="C186" s="43"/>
      <c r="K186" s="37"/>
      <c r="L186" s="43"/>
      <c r="M186" s="43"/>
      <c r="N186" s="37"/>
      <c r="O186" s="37"/>
      <c r="P186" s="37"/>
      <c r="Q186" s="37"/>
      <c r="R186" s="43"/>
      <c r="S186" s="37"/>
      <c r="T186" s="37"/>
      <c r="U186" s="947"/>
      <c r="V186" s="37"/>
      <c r="W186" s="37"/>
      <c r="X186" s="37"/>
      <c r="Y186" s="37"/>
      <c r="Z186" s="37"/>
      <c r="AA186" s="572"/>
      <c r="AB186" s="963"/>
      <c r="AC186" s="963"/>
      <c r="AD186" s="963"/>
      <c r="AE186" s="963"/>
      <c r="AF186" s="36">
        <v>11</v>
      </c>
    </row>
    <row r="187" s="36" customFormat="1" ht="11.55" customHeight="1" spans="1:32">
      <c r="A187" s="946"/>
      <c r="B187" s="43"/>
      <c r="C187" s="43"/>
      <c r="K187" s="37"/>
      <c r="L187" s="43"/>
      <c r="M187" s="43"/>
      <c r="N187" s="37"/>
      <c r="O187" s="37"/>
      <c r="P187" s="37"/>
      <c r="Q187" s="37"/>
      <c r="R187" s="43"/>
      <c r="S187" s="37"/>
      <c r="T187" s="37"/>
      <c r="U187" s="947"/>
      <c r="V187" s="37"/>
      <c r="W187" s="37"/>
      <c r="X187" s="37"/>
      <c r="Y187" s="37"/>
      <c r="Z187" s="37"/>
      <c r="AA187" s="572"/>
      <c r="AB187" s="963"/>
      <c r="AC187" s="963"/>
      <c r="AD187" s="963"/>
      <c r="AE187" s="963"/>
      <c r="AF187" s="36">
        <v>11</v>
      </c>
    </row>
    <row r="188" s="36" customFormat="1" ht="11.55" customHeight="1" spans="1:32">
      <c r="A188" s="946"/>
      <c r="B188" s="43"/>
      <c r="C188" s="43"/>
      <c r="K188" s="37"/>
      <c r="L188" s="43"/>
      <c r="M188" s="43"/>
      <c r="N188" s="37"/>
      <c r="O188" s="37"/>
      <c r="P188" s="37"/>
      <c r="Q188" s="37"/>
      <c r="R188" s="43"/>
      <c r="S188" s="37"/>
      <c r="T188" s="37"/>
      <c r="U188" s="947"/>
      <c r="V188" s="37"/>
      <c r="W188" s="37"/>
      <c r="X188" s="37"/>
      <c r="Y188" s="37"/>
      <c r="Z188" s="37"/>
      <c r="AA188" s="572"/>
      <c r="AB188" s="963"/>
      <c r="AC188" s="963"/>
      <c r="AD188" s="963"/>
      <c r="AE188" s="963"/>
      <c r="AF188" s="36">
        <v>11</v>
      </c>
    </row>
    <row r="189" s="36" customFormat="1" ht="11.55" customHeight="1" spans="1:32">
      <c r="A189" s="946"/>
      <c r="B189" s="43"/>
      <c r="C189" s="43"/>
      <c r="K189" s="37"/>
      <c r="L189" s="43"/>
      <c r="M189" s="43"/>
      <c r="N189" s="37"/>
      <c r="O189" s="37"/>
      <c r="P189" s="37"/>
      <c r="Q189" s="37"/>
      <c r="R189" s="43"/>
      <c r="S189" s="37"/>
      <c r="T189" s="37"/>
      <c r="U189" s="947"/>
      <c r="V189" s="37"/>
      <c r="W189" s="37"/>
      <c r="X189" s="37"/>
      <c r="Y189" s="37"/>
      <c r="Z189" s="37"/>
      <c r="AA189" s="572"/>
      <c r="AB189" s="963"/>
      <c r="AC189" s="963"/>
      <c r="AD189" s="963"/>
      <c r="AE189" s="963"/>
      <c r="AF189" s="36">
        <v>11</v>
      </c>
    </row>
    <row r="190" s="36" customFormat="1" ht="11.55" customHeight="1" spans="1:32">
      <c r="A190" s="946"/>
      <c r="B190" s="43"/>
      <c r="C190" s="43"/>
      <c r="K190" s="37"/>
      <c r="L190" s="43"/>
      <c r="M190" s="43"/>
      <c r="N190" s="37"/>
      <c r="O190" s="37"/>
      <c r="P190" s="37"/>
      <c r="Q190" s="37"/>
      <c r="R190" s="43"/>
      <c r="S190" s="37"/>
      <c r="T190" s="37"/>
      <c r="U190" s="947"/>
      <c r="V190" s="37"/>
      <c r="W190" s="37"/>
      <c r="X190" s="37"/>
      <c r="Y190" s="37"/>
      <c r="Z190" s="37"/>
      <c r="AA190" s="572"/>
      <c r="AB190" s="963"/>
      <c r="AC190" s="963"/>
      <c r="AD190" s="963"/>
      <c r="AE190" s="963"/>
      <c r="AF190" s="36">
        <v>11</v>
      </c>
    </row>
    <row r="191" s="36" customFormat="1" ht="11.55" customHeight="1" spans="1:32">
      <c r="A191" s="946"/>
      <c r="B191" s="43"/>
      <c r="C191" s="43"/>
      <c r="K191" s="37"/>
      <c r="L191" s="43"/>
      <c r="M191" s="43"/>
      <c r="N191" s="37"/>
      <c r="O191" s="37"/>
      <c r="P191" s="37"/>
      <c r="Q191" s="37"/>
      <c r="R191" s="43"/>
      <c r="S191" s="37"/>
      <c r="T191" s="37"/>
      <c r="U191" s="947"/>
      <c r="V191" s="37"/>
      <c r="W191" s="37"/>
      <c r="X191" s="37"/>
      <c r="Y191" s="37"/>
      <c r="Z191" s="37"/>
      <c r="AA191" s="572"/>
      <c r="AB191" s="963"/>
      <c r="AC191" s="963"/>
      <c r="AD191" s="963"/>
      <c r="AE191" s="963"/>
      <c r="AF191" s="36">
        <v>11</v>
      </c>
    </row>
    <row r="192" s="36" customFormat="1" ht="11.55" customHeight="1" spans="1:32">
      <c r="A192" s="946"/>
      <c r="B192" s="43"/>
      <c r="C192" s="43"/>
      <c r="K192" s="37"/>
      <c r="L192" s="43"/>
      <c r="M192" s="43"/>
      <c r="N192" s="37"/>
      <c r="O192" s="37"/>
      <c r="P192" s="37"/>
      <c r="Q192" s="37"/>
      <c r="R192" s="43"/>
      <c r="S192" s="37"/>
      <c r="T192" s="37"/>
      <c r="U192" s="947"/>
      <c r="V192" s="37"/>
      <c r="W192" s="37"/>
      <c r="X192" s="37"/>
      <c r="Y192" s="37"/>
      <c r="Z192" s="37"/>
      <c r="AA192" s="572"/>
      <c r="AB192" s="963"/>
      <c r="AC192" s="963"/>
      <c r="AD192" s="963"/>
      <c r="AE192" s="963"/>
      <c r="AF192" s="36">
        <v>11</v>
      </c>
    </row>
    <row r="193" s="36" customFormat="1" ht="11.55" customHeight="1" spans="1:32">
      <c r="A193" s="946"/>
      <c r="B193" s="43"/>
      <c r="C193" s="43"/>
      <c r="K193" s="37"/>
      <c r="L193" s="43"/>
      <c r="M193" s="43"/>
      <c r="N193" s="37"/>
      <c r="O193" s="37"/>
      <c r="P193" s="37"/>
      <c r="Q193" s="37"/>
      <c r="R193" s="43"/>
      <c r="S193" s="37"/>
      <c r="T193" s="37"/>
      <c r="U193" s="947"/>
      <c r="V193" s="37"/>
      <c r="W193" s="37"/>
      <c r="X193" s="37"/>
      <c r="Y193" s="37"/>
      <c r="Z193" s="37"/>
      <c r="AA193" s="572"/>
      <c r="AB193" s="963"/>
      <c r="AC193" s="963"/>
      <c r="AD193" s="963"/>
      <c r="AE193" s="963"/>
      <c r="AF193" s="36">
        <v>11</v>
      </c>
    </row>
    <row r="194" s="36" customFormat="1" ht="11.55" customHeight="1" spans="1:32">
      <c r="A194" s="946"/>
      <c r="B194" s="43"/>
      <c r="C194" s="43"/>
      <c r="K194" s="37"/>
      <c r="L194" s="43"/>
      <c r="M194" s="43"/>
      <c r="N194" s="37"/>
      <c r="O194" s="37"/>
      <c r="P194" s="37"/>
      <c r="Q194" s="37"/>
      <c r="R194" s="43"/>
      <c r="S194" s="37"/>
      <c r="T194" s="37"/>
      <c r="U194" s="947"/>
      <c r="V194" s="37"/>
      <c r="W194" s="37"/>
      <c r="X194" s="37"/>
      <c r="Y194" s="37"/>
      <c r="Z194" s="37"/>
      <c r="AA194" s="572"/>
      <c r="AB194" s="963"/>
      <c r="AC194" s="963"/>
      <c r="AD194" s="963"/>
      <c r="AE194" s="963"/>
      <c r="AF194" s="36">
        <v>11</v>
      </c>
    </row>
    <row r="195" s="36" customFormat="1" ht="11.55" customHeight="1" spans="1:32">
      <c r="A195" s="946"/>
      <c r="B195" s="43"/>
      <c r="C195" s="43"/>
      <c r="K195" s="37"/>
      <c r="L195" s="43"/>
      <c r="M195" s="43"/>
      <c r="N195" s="37"/>
      <c r="O195" s="37"/>
      <c r="P195" s="37"/>
      <c r="Q195" s="37"/>
      <c r="R195" s="43"/>
      <c r="S195" s="37"/>
      <c r="T195" s="37"/>
      <c r="U195" s="947"/>
      <c r="V195" s="37"/>
      <c r="W195" s="37"/>
      <c r="X195" s="37"/>
      <c r="Y195" s="37"/>
      <c r="Z195" s="37"/>
      <c r="AA195" s="572"/>
      <c r="AB195" s="963"/>
      <c r="AC195" s="963"/>
      <c r="AD195" s="963"/>
      <c r="AE195" s="963"/>
      <c r="AF195" s="36">
        <v>11</v>
      </c>
    </row>
    <row r="196" s="36" customFormat="1" ht="11.55" customHeight="1" spans="1:32">
      <c r="A196" s="946"/>
      <c r="B196" s="43"/>
      <c r="C196" s="43"/>
      <c r="K196" s="37"/>
      <c r="L196" s="43"/>
      <c r="M196" s="43"/>
      <c r="N196" s="37"/>
      <c r="O196" s="37"/>
      <c r="P196" s="37"/>
      <c r="Q196" s="37"/>
      <c r="R196" s="43"/>
      <c r="S196" s="37"/>
      <c r="T196" s="37"/>
      <c r="U196" s="947"/>
      <c r="V196" s="37"/>
      <c r="W196" s="37"/>
      <c r="X196" s="37"/>
      <c r="Y196" s="37"/>
      <c r="Z196" s="37"/>
      <c r="AA196" s="572"/>
      <c r="AB196" s="963"/>
      <c r="AC196" s="963"/>
      <c r="AD196" s="963"/>
      <c r="AE196" s="963"/>
      <c r="AF196" s="36">
        <v>11</v>
      </c>
    </row>
    <row r="197" s="36" customFormat="1" ht="11.55" customHeight="1" spans="1:32">
      <c r="A197" s="946"/>
      <c r="B197" s="43"/>
      <c r="C197" s="43"/>
      <c r="K197" s="37"/>
      <c r="L197" s="43"/>
      <c r="M197" s="43"/>
      <c r="N197" s="37"/>
      <c r="O197" s="37"/>
      <c r="P197" s="37"/>
      <c r="Q197" s="37"/>
      <c r="R197" s="43"/>
      <c r="S197" s="37"/>
      <c r="T197" s="37"/>
      <c r="U197" s="947"/>
      <c r="V197" s="37"/>
      <c r="W197" s="37"/>
      <c r="X197" s="37"/>
      <c r="Y197" s="37"/>
      <c r="Z197" s="37"/>
      <c r="AA197" s="572"/>
      <c r="AB197" s="963"/>
      <c r="AC197" s="963"/>
      <c r="AD197" s="963"/>
      <c r="AE197" s="963"/>
      <c r="AF197" s="36">
        <v>11</v>
      </c>
    </row>
    <row r="198" s="36" customFormat="1" ht="11.55" customHeight="1" spans="1:32">
      <c r="A198" s="946"/>
      <c r="B198" s="43"/>
      <c r="C198" s="43"/>
      <c r="K198" s="37"/>
      <c r="L198" s="43"/>
      <c r="M198" s="43"/>
      <c r="N198" s="37"/>
      <c r="O198" s="37"/>
      <c r="P198" s="37"/>
      <c r="Q198" s="37"/>
      <c r="R198" s="43"/>
      <c r="S198" s="37"/>
      <c r="T198" s="37"/>
      <c r="U198" s="947"/>
      <c r="V198" s="37"/>
      <c r="W198" s="37"/>
      <c r="X198" s="37"/>
      <c r="Y198" s="37"/>
      <c r="Z198" s="37"/>
      <c r="AA198" s="572"/>
      <c r="AB198" s="963"/>
      <c r="AC198" s="963"/>
      <c r="AD198" s="963"/>
      <c r="AE198" s="963"/>
      <c r="AF198" s="36">
        <v>11</v>
      </c>
    </row>
    <row r="199" s="36" customFormat="1" ht="11.55" customHeight="1" spans="1:32">
      <c r="A199" s="946"/>
      <c r="B199" s="43"/>
      <c r="C199" s="43"/>
      <c r="K199" s="37"/>
      <c r="L199" s="43"/>
      <c r="M199" s="43"/>
      <c r="N199" s="37"/>
      <c r="O199" s="37"/>
      <c r="P199" s="37"/>
      <c r="Q199" s="37"/>
      <c r="R199" s="43"/>
      <c r="S199" s="37"/>
      <c r="T199" s="37"/>
      <c r="U199" s="947"/>
      <c r="V199" s="37"/>
      <c r="W199" s="37"/>
      <c r="X199" s="37"/>
      <c r="Y199" s="37"/>
      <c r="Z199" s="37"/>
      <c r="AA199" s="572"/>
      <c r="AB199" s="963"/>
      <c r="AC199" s="963"/>
      <c r="AD199" s="963"/>
      <c r="AE199" s="963"/>
      <c r="AF199" s="36">
        <v>11</v>
      </c>
    </row>
    <row r="200" s="36" customFormat="1" ht="11.55" customHeight="1" spans="1:32">
      <c r="A200" s="946"/>
      <c r="B200" s="43"/>
      <c r="C200" s="43"/>
      <c r="K200" s="37"/>
      <c r="L200" s="43"/>
      <c r="M200" s="43"/>
      <c r="N200" s="37"/>
      <c r="O200" s="37"/>
      <c r="P200" s="37"/>
      <c r="Q200" s="37"/>
      <c r="R200" s="43"/>
      <c r="S200" s="37"/>
      <c r="T200" s="37"/>
      <c r="U200" s="947"/>
      <c r="V200" s="37"/>
      <c r="W200" s="37"/>
      <c r="X200" s="37"/>
      <c r="Y200" s="37"/>
      <c r="Z200" s="37"/>
      <c r="AA200" s="572"/>
      <c r="AB200" s="963"/>
      <c r="AC200" s="963"/>
      <c r="AD200" s="963"/>
      <c r="AE200" s="963"/>
      <c r="AF200" s="36">
        <v>11</v>
      </c>
    </row>
    <row r="201" s="36" customFormat="1" ht="11.55" customHeight="1" spans="1:32">
      <c r="A201" s="946"/>
      <c r="B201" s="43"/>
      <c r="C201" s="43"/>
      <c r="K201" s="37"/>
      <c r="L201" s="43"/>
      <c r="M201" s="43"/>
      <c r="N201" s="37"/>
      <c r="O201" s="37"/>
      <c r="P201" s="37"/>
      <c r="Q201" s="37"/>
      <c r="R201" s="43"/>
      <c r="S201" s="37"/>
      <c r="T201" s="37"/>
      <c r="U201" s="947"/>
      <c r="V201" s="37"/>
      <c r="W201" s="37"/>
      <c r="X201" s="37"/>
      <c r="Y201" s="37"/>
      <c r="Z201" s="37"/>
      <c r="AA201" s="572"/>
      <c r="AB201" s="963"/>
      <c r="AC201" s="963"/>
      <c r="AD201" s="963"/>
      <c r="AE201" s="963"/>
      <c r="AF201" s="36">
        <v>11</v>
      </c>
    </row>
    <row r="202" s="36" customFormat="1" ht="11.55" customHeight="1" spans="1:32">
      <c r="A202" s="946"/>
      <c r="B202" s="43"/>
      <c r="C202" s="43"/>
      <c r="K202" s="37"/>
      <c r="L202" s="43"/>
      <c r="M202" s="43"/>
      <c r="N202" s="37"/>
      <c r="O202" s="37"/>
      <c r="P202" s="37"/>
      <c r="Q202" s="37"/>
      <c r="R202" s="43"/>
      <c r="S202" s="37"/>
      <c r="T202" s="37"/>
      <c r="U202" s="947"/>
      <c r="V202" s="37"/>
      <c r="W202" s="37"/>
      <c r="X202" s="37"/>
      <c r="Y202" s="37"/>
      <c r="Z202" s="37"/>
      <c r="AA202" s="572"/>
      <c r="AB202" s="963"/>
      <c r="AC202" s="963"/>
      <c r="AD202" s="963"/>
      <c r="AE202" s="963"/>
      <c r="AF202" s="36">
        <v>11</v>
      </c>
    </row>
    <row r="203" s="36" customFormat="1" ht="11.55" customHeight="1" spans="1:32">
      <c r="A203" s="946"/>
      <c r="B203" s="43"/>
      <c r="C203" s="43"/>
      <c r="K203" s="37"/>
      <c r="L203" s="43"/>
      <c r="M203" s="43"/>
      <c r="N203" s="37"/>
      <c r="O203" s="37"/>
      <c r="P203" s="37"/>
      <c r="Q203" s="37"/>
      <c r="R203" s="43"/>
      <c r="S203" s="37"/>
      <c r="T203" s="37"/>
      <c r="U203" s="947"/>
      <c r="V203" s="37"/>
      <c r="W203" s="37"/>
      <c r="X203" s="37"/>
      <c r="Y203" s="37"/>
      <c r="Z203" s="37"/>
      <c r="AA203" s="572"/>
      <c r="AB203" s="963"/>
      <c r="AC203" s="963"/>
      <c r="AD203" s="963"/>
      <c r="AE203" s="963"/>
      <c r="AF203" s="36">
        <v>11</v>
      </c>
    </row>
    <row r="204" s="36" customFormat="1" ht="11.55" customHeight="1" spans="1:32">
      <c r="A204" s="946"/>
      <c r="B204" s="43"/>
      <c r="C204" s="43"/>
      <c r="K204" s="37"/>
      <c r="L204" s="43"/>
      <c r="M204" s="43"/>
      <c r="N204" s="37"/>
      <c r="O204" s="37"/>
      <c r="P204" s="37"/>
      <c r="Q204" s="37"/>
      <c r="R204" s="43"/>
      <c r="S204" s="37"/>
      <c r="T204" s="37"/>
      <c r="U204" s="947"/>
      <c r="V204" s="37"/>
      <c r="W204" s="37"/>
      <c r="X204" s="37"/>
      <c r="Y204" s="37"/>
      <c r="Z204" s="37"/>
      <c r="AA204" s="572"/>
      <c r="AB204" s="963"/>
      <c r="AC204" s="963"/>
      <c r="AD204" s="963"/>
      <c r="AE204" s="963"/>
      <c r="AF204" s="36">
        <v>11</v>
      </c>
    </row>
    <row r="205" s="36" customFormat="1" ht="11.55" customHeight="1" spans="1:32">
      <c r="A205" s="946"/>
      <c r="B205" s="43"/>
      <c r="C205" s="43"/>
      <c r="K205" s="37"/>
      <c r="L205" s="43"/>
      <c r="M205" s="43"/>
      <c r="N205" s="37"/>
      <c r="O205" s="37"/>
      <c r="P205" s="37"/>
      <c r="Q205" s="37"/>
      <c r="R205" s="43"/>
      <c r="S205" s="37"/>
      <c r="T205" s="37"/>
      <c r="U205" s="947"/>
      <c r="V205" s="37"/>
      <c r="W205" s="37"/>
      <c r="X205" s="37"/>
      <c r="Y205" s="37"/>
      <c r="Z205" s="37"/>
      <c r="AA205" s="572"/>
      <c r="AB205" s="963"/>
      <c r="AC205" s="963"/>
      <c r="AD205" s="963"/>
      <c r="AE205" s="963"/>
      <c r="AF205" s="36">
        <v>11</v>
      </c>
    </row>
    <row r="206" s="36" customFormat="1" ht="11.55" customHeight="1" spans="1:32">
      <c r="A206" s="946"/>
      <c r="B206" s="43"/>
      <c r="C206" s="43"/>
      <c r="K206" s="37"/>
      <c r="L206" s="43"/>
      <c r="M206" s="43"/>
      <c r="N206" s="37"/>
      <c r="O206" s="37"/>
      <c r="P206" s="37"/>
      <c r="Q206" s="37"/>
      <c r="R206" s="43"/>
      <c r="S206" s="37"/>
      <c r="T206" s="37"/>
      <c r="U206" s="947"/>
      <c r="V206" s="37"/>
      <c r="W206" s="37"/>
      <c r="X206" s="37"/>
      <c r="Y206" s="37"/>
      <c r="Z206" s="37"/>
      <c r="AA206" s="572"/>
      <c r="AB206" s="963"/>
      <c r="AC206" s="963"/>
      <c r="AD206" s="963"/>
      <c r="AE206" s="963"/>
      <c r="AF206" s="36">
        <v>11</v>
      </c>
    </row>
    <row r="207" s="36" customFormat="1" ht="11.55" customHeight="1" spans="1:32">
      <c r="A207" s="946"/>
      <c r="B207" s="43"/>
      <c r="C207" s="43"/>
      <c r="K207" s="37"/>
      <c r="L207" s="43"/>
      <c r="M207" s="43"/>
      <c r="N207" s="37"/>
      <c r="O207" s="37"/>
      <c r="P207" s="37"/>
      <c r="Q207" s="37"/>
      <c r="R207" s="43"/>
      <c r="S207" s="37"/>
      <c r="T207" s="37"/>
      <c r="U207" s="947"/>
      <c r="V207" s="37"/>
      <c r="W207" s="37"/>
      <c r="X207" s="37"/>
      <c r="Y207" s="37"/>
      <c r="Z207" s="37"/>
      <c r="AA207" s="572"/>
      <c r="AB207" s="963"/>
      <c r="AC207" s="963"/>
      <c r="AD207" s="963"/>
      <c r="AE207" s="963"/>
      <c r="AF207" s="36">
        <v>11</v>
      </c>
    </row>
    <row r="208" s="36" customFormat="1" ht="11.55" customHeight="1" spans="1:32">
      <c r="A208" s="946"/>
      <c r="B208" s="43"/>
      <c r="C208" s="43"/>
      <c r="K208" s="37"/>
      <c r="L208" s="43"/>
      <c r="M208" s="43"/>
      <c r="N208" s="37"/>
      <c r="O208" s="37"/>
      <c r="P208" s="37"/>
      <c r="Q208" s="37"/>
      <c r="R208" s="43"/>
      <c r="S208" s="37"/>
      <c r="T208" s="37"/>
      <c r="U208" s="947"/>
      <c r="V208" s="37"/>
      <c r="W208" s="37"/>
      <c r="X208" s="37"/>
      <c r="Y208" s="37"/>
      <c r="Z208" s="37"/>
      <c r="AA208" s="572"/>
      <c r="AB208" s="963"/>
      <c r="AC208" s="963"/>
      <c r="AD208" s="963"/>
      <c r="AE208" s="963"/>
      <c r="AF208" s="36">
        <v>11</v>
      </c>
    </row>
    <row r="209" s="36" customFormat="1" ht="11.55" customHeight="1" spans="1:32">
      <c r="A209" s="946"/>
      <c r="B209" s="43"/>
      <c r="C209" s="43"/>
      <c r="K209" s="37"/>
      <c r="L209" s="43"/>
      <c r="M209" s="43"/>
      <c r="N209" s="37"/>
      <c r="O209" s="37"/>
      <c r="P209" s="37"/>
      <c r="Q209" s="37"/>
      <c r="R209" s="43"/>
      <c r="S209" s="37"/>
      <c r="T209" s="37"/>
      <c r="U209" s="947"/>
      <c r="V209" s="37"/>
      <c r="W209" s="37"/>
      <c r="X209" s="37"/>
      <c r="Y209" s="37"/>
      <c r="Z209" s="37"/>
      <c r="AA209" s="572"/>
      <c r="AB209" s="963"/>
      <c r="AC209" s="963"/>
      <c r="AD209" s="963"/>
      <c r="AE209" s="963"/>
      <c r="AF209" s="36">
        <v>11</v>
      </c>
    </row>
    <row r="210" s="36" customFormat="1" ht="11.55" customHeight="1" spans="1:32">
      <c r="A210" s="946"/>
      <c r="B210" s="43"/>
      <c r="C210" s="43"/>
      <c r="K210" s="37"/>
      <c r="L210" s="43"/>
      <c r="M210" s="43"/>
      <c r="N210" s="37"/>
      <c r="O210" s="37"/>
      <c r="P210" s="37"/>
      <c r="Q210" s="37"/>
      <c r="R210" s="43"/>
      <c r="S210" s="37"/>
      <c r="T210" s="37"/>
      <c r="U210" s="947"/>
      <c r="V210" s="37"/>
      <c r="W210" s="37"/>
      <c r="X210" s="37"/>
      <c r="Y210" s="37"/>
      <c r="Z210" s="37"/>
      <c r="AA210" s="572"/>
      <c r="AB210" s="963"/>
      <c r="AC210" s="963"/>
      <c r="AD210" s="963"/>
      <c r="AE210" s="963"/>
      <c r="AF210" s="36">
        <v>11</v>
      </c>
    </row>
    <row r="211" s="36" customFormat="1" ht="11.55" customHeight="1" spans="1:32">
      <c r="A211" s="946"/>
      <c r="B211" s="43"/>
      <c r="C211" s="43"/>
      <c r="K211" s="37"/>
      <c r="L211" s="43"/>
      <c r="M211" s="43"/>
      <c r="N211" s="37"/>
      <c r="O211" s="37"/>
      <c r="P211" s="37"/>
      <c r="Q211" s="37"/>
      <c r="R211" s="43"/>
      <c r="S211" s="37"/>
      <c r="T211" s="37"/>
      <c r="U211" s="947"/>
      <c r="V211" s="37"/>
      <c r="W211" s="37"/>
      <c r="X211" s="37"/>
      <c r="Y211" s="37"/>
      <c r="Z211" s="37"/>
      <c r="AA211" s="572"/>
      <c r="AB211" s="963"/>
      <c r="AC211" s="963"/>
      <c r="AD211" s="963"/>
      <c r="AE211" s="963"/>
      <c r="AF211" s="36">
        <v>11</v>
      </c>
    </row>
    <row r="212" s="36" customFormat="1" ht="11.55" customHeight="1" spans="1:32">
      <c r="A212" s="946"/>
      <c r="B212" s="43"/>
      <c r="C212" s="43"/>
      <c r="K212" s="37"/>
      <c r="L212" s="43"/>
      <c r="M212" s="43"/>
      <c r="N212" s="37"/>
      <c r="O212" s="37"/>
      <c r="P212" s="37"/>
      <c r="Q212" s="37"/>
      <c r="R212" s="43"/>
      <c r="S212" s="37"/>
      <c r="T212" s="37"/>
      <c r="U212" s="947"/>
      <c r="V212" s="37"/>
      <c r="W212" s="37"/>
      <c r="X212" s="37"/>
      <c r="Y212" s="37"/>
      <c r="Z212" s="37"/>
      <c r="AA212" s="572"/>
      <c r="AB212" s="963"/>
      <c r="AC212" s="963"/>
      <c r="AD212" s="963"/>
      <c r="AE212" s="963"/>
      <c r="AF212" s="36">
        <v>11</v>
      </c>
    </row>
    <row r="213" s="36" customFormat="1" ht="11.55" customHeight="1" spans="1:32">
      <c r="A213" s="946"/>
      <c r="B213" s="43"/>
      <c r="C213" s="43"/>
      <c r="K213" s="37"/>
      <c r="L213" s="43"/>
      <c r="M213" s="43"/>
      <c r="N213" s="37"/>
      <c r="O213" s="37"/>
      <c r="P213" s="37"/>
      <c r="Q213" s="37"/>
      <c r="R213" s="43"/>
      <c r="S213" s="37"/>
      <c r="T213" s="37"/>
      <c r="U213" s="947"/>
      <c r="V213" s="37"/>
      <c r="W213" s="37"/>
      <c r="X213" s="37"/>
      <c r="Y213" s="37"/>
      <c r="Z213" s="37"/>
      <c r="AA213" s="572"/>
      <c r="AB213" s="963"/>
      <c r="AC213" s="963"/>
      <c r="AD213" s="963"/>
      <c r="AE213" s="963"/>
      <c r="AF213" s="36">
        <v>11</v>
      </c>
    </row>
    <row r="214" s="36" customFormat="1" ht="11.55" customHeight="1" spans="1:32">
      <c r="A214" s="946"/>
      <c r="B214" s="43"/>
      <c r="C214" s="43"/>
      <c r="K214" s="37"/>
      <c r="L214" s="43"/>
      <c r="M214" s="43"/>
      <c r="N214" s="37"/>
      <c r="O214" s="37"/>
      <c r="P214" s="37"/>
      <c r="Q214" s="37"/>
      <c r="R214" s="43"/>
      <c r="S214" s="37"/>
      <c r="T214" s="37"/>
      <c r="U214" s="947"/>
      <c r="V214" s="37"/>
      <c r="W214" s="37"/>
      <c r="X214" s="37"/>
      <c r="Y214" s="37"/>
      <c r="Z214" s="37"/>
      <c r="AA214" s="572"/>
      <c r="AB214" s="963"/>
      <c r="AC214" s="963"/>
      <c r="AD214" s="963"/>
      <c r="AE214" s="963"/>
      <c r="AF214" s="36">
        <v>11</v>
      </c>
    </row>
    <row r="215" s="36" customFormat="1" ht="11.55" customHeight="1" spans="1:32">
      <c r="A215" s="946"/>
      <c r="B215" s="43"/>
      <c r="C215" s="43"/>
      <c r="K215" s="37"/>
      <c r="L215" s="43"/>
      <c r="M215" s="43"/>
      <c r="N215" s="37"/>
      <c r="O215" s="37"/>
      <c r="P215" s="37"/>
      <c r="Q215" s="37"/>
      <c r="R215" s="43"/>
      <c r="S215" s="37"/>
      <c r="T215" s="37"/>
      <c r="U215" s="947"/>
      <c r="V215" s="37"/>
      <c r="W215" s="37"/>
      <c r="X215" s="37"/>
      <c r="Y215" s="37"/>
      <c r="Z215" s="37"/>
      <c r="AA215" s="572"/>
      <c r="AB215" s="963"/>
      <c r="AC215" s="963"/>
      <c r="AD215" s="963"/>
      <c r="AE215" s="963"/>
      <c r="AF215" s="36">
        <v>11</v>
      </c>
    </row>
    <row r="216" s="36" customFormat="1" ht="11.55" customHeight="1" spans="1:32">
      <c r="A216" s="946"/>
      <c r="B216" s="43"/>
      <c r="C216" s="43"/>
      <c r="K216" s="37"/>
      <c r="L216" s="43"/>
      <c r="M216" s="43"/>
      <c r="N216" s="37"/>
      <c r="O216" s="37"/>
      <c r="P216" s="37"/>
      <c r="Q216" s="37"/>
      <c r="R216" s="43"/>
      <c r="S216" s="37"/>
      <c r="T216" s="37"/>
      <c r="U216" s="947"/>
      <c r="V216" s="37"/>
      <c r="W216" s="37"/>
      <c r="X216" s="37"/>
      <c r="Y216" s="37"/>
      <c r="Z216" s="37"/>
      <c r="AA216" s="572"/>
      <c r="AB216" s="963"/>
      <c r="AC216" s="963"/>
      <c r="AD216" s="963"/>
      <c r="AE216" s="963"/>
      <c r="AF216" s="36">
        <v>11</v>
      </c>
    </row>
    <row r="217" s="36" customFormat="1" ht="11.55" customHeight="1" spans="1:32">
      <c r="A217" s="946"/>
      <c r="B217" s="43"/>
      <c r="C217" s="43"/>
      <c r="K217" s="37"/>
      <c r="L217" s="43"/>
      <c r="M217" s="43"/>
      <c r="N217" s="37"/>
      <c r="O217" s="37"/>
      <c r="P217" s="37"/>
      <c r="Q217" s="37"/>
      <c r="R217" s="43"/>
      <c r="S217" s="37"/>
      <c r="T217" s="37"/>
      <c r="U217" s="947"/>
      <c r="V217" s="37"/>
      <c r="W217" s="37"/>
      <c r="X217" s="37"/>
      <c r="Y217" s="37"/>
      <c r="Z217" s="37"/>
      <c r="AA217" s="572"/>
      <c r="AB217" s="963"/>
      <c r="AC217" s="963"/>
      <c r="AD217" s="963"/>
      <c r="AE217" s="963"/>
      <c r="AF217" s="36">
        <v>11</v>
      </c>
    </row>
    <row r="218" s="36" customFormat="1" ht="11.55" customHeight="1" spans="1:32">
      <c r="A218" s="946"/>
      <c r="B218" s="43"/>
      <c r="C218" s="43"/>
      <c r="K218" s="37"/>
      <c r="L218" s="43"/>
      <c r="M218" s="43"/>
      <c r="N218" s="37"/>
      <c r="O218" s="37"/>
      <c r="P218" s="37"/>
      <c r="Q218" s="37"/>
      <c r="R218" s="43"/>
      <c r="S218" s="37"/>
      <c r="T218" s="37"/>
      <c r="U218" s="947"/>
      <c r="V218" s="37"/>
      <c r="W218" s="37"/>
      <c r="X218" s="37"/>
      <c r="Y218" s="37"/>
      <c r="Z218" s="37"/>
      <c r="AA218" s="572"/>
      <c r="AB218" s="963"/>
      <c r="AC218" s="963"/>
      <c r="AD218" s="963"/>
      <c r="AE218" s="963"/>
      <c r="AF218" s="36">
        <v>11</v>
      </c>
    </row>
    <row r="219" s="36" customFormat="1" ht="11.55" customHeight="1" spans="1:32">
      <c r="A219" s="946"/>
      <c r="B219" s="43"/>
      <c r="C219" s="43"/>
      <c r="K219" s="37"/>
      <c r="L219" s="43"/>
      <c r="M219" s="43"/>
      <c r="N219" s="37"/>
      <c r="O219" s="37"/>
      <c r="P219" s="37"/>
      <c r="Q219" s="37"/>
      <c r="R219" s="43"/>
      <c r="S219" s="37"/>
      <c r="T219" s="37"/>
      <c r="U219" s="947"/>
      <c r="V219" s="37"/>
      <c r="W219" s="37"/>
      <c r="X219" s="37"/>
      <c r="Y219" s="37"/>
      <c r="Z219" s="37"/>
      <c r="AA219" s="572"/>
      <c r="AB219" s="963"/>
      <c r="AC219" s="963"/>
      <c r="AD219" s="963"/>
      <c r="AE219" s="963"/>
      <c r="AF219" s="36">
        <v>11</v>
      </c>
    </row>
    <row r="220" s="36" customFormat="1" ht="11.55" customHeight="1" spans="1:32">
      <c r="A220" s="946"/>
      <c r="B220" s="43"/>
      <c r="C220" s="43"/>
      <c r="K220" s="37"/>
      <c r="L220" s="43"/>
      <c r="M220" s="43"/>
      <c r="N220" s="37"/>
      <c r="O220" s="37"/>
      <c r="P220" s="37"/>
      <c r="Q220" s="37"/>
      <c r="R220" s="43"/>
      <c r="S220" s="37"/>
      <c r="T220" s="37"/>
      <c r="U220" s="947"/>
      <c r="V220" s="37"/>
      <c r="W220" s="37"/>
      <c r="X220" s="37"/>
      <c r="Y220" s="37"/>
      <c r="Z220" s="37"/>
      <c r="AA220" s="572"/>
      <c r="AB220" s="963"/>
      <c r="AC220" s="963"/>
      <c r="AD220" s="963"/>
      <c r="AE220" s="963"/>
      <c r="AF220" s="36">
        <v>11</v>
      </c>
    </row>
    <row r="221" s="36" customFormat="1" ht="11.55" customHeight="1" spans="1:32">
      <c r="A221" s="946"/>
      <c r="B221" s="43"/>
      <c r="C221" s="43"/>
      <c r="K221" s="37"/>
      <c r="L221" s="43"/>
      <c r="M221" s="43"/>
      <c r="N221" s="37"/>
      <c r="O221" s="37"/>
      <c r="P221" s="37"/>
      <c r="Q221" s="37"/>
      <c r="R221" s="43"/>
      <c r="S221" s="37"/>
      <c r="T221" s="37"/>
      <c r="U221" s="947"/>
      <c r="V221" s="37"/>
      <c r="W221" s="37"/>
      <c r="X221" s="37"/>
      <c r="Y221" s="37"/>
      <c r="Z221" s="37"/>
      <c r="AA221" s="572"/>
      <c r="AB221" s="963"/>
      <c r="AC221" s="963"/>
      <c r="AD221" s="963"/>
      <c r="AE221" s="963"/>
      <c r="AF221" s="36">
        <v>11</v>
      </c>
    </row>
    <row r="222" s="36" customFormat="1" ht="11.55" customHeight="1" spans="1:32">
      <c r="A222" s="946"/>
      <c r="B222" s="43"/>
      <c r="C222" s="43"/>
      <c r="K222" s="37"/>
      <c r="L222" s="43"/>
      <c r="M222" s="43"/>
      <c r="N222" s="37"/>
      <c r="O222" s="37"/>
      <c r="P222" s="37"/>
      <c r="Q222" s="37"/>
      <c r="R222" s="43"/>
      <c r="S222" s="37"/>
      <c r="T222" s="37"/>
      <c r="U222" s="947"/>
      <c r="V222" s="37"/>
      <c r="W222" s="37"/>
      <c r="X222" s="37"/>
      <c r="Y222" s="37"/>
      <c r="Z222" s="37"/>
      <c r="AA222" s="572"/>
      <c r="AB222" s="963"/>
      <c r="AC222" s="963"/>
      <c r="AD222" s="963"/>
      <c r="AE222" s="963"/>
      <c r="AF222" s="36">
        <v>11</v>
      </c>
    </row>
    <row r="223" s="36" customFormat="1" ht="11.55" customHeight="1" spans="1:32">
      <c r="A223" s="946"/>
      <c r="B223" s="43"/>
      <c r="C223" s="43"/>
      <c r="K223" s="37"/>
      <c r="L223" s="43"/>
      <c r="M223" s="43"/>
      <c r="N223" s="37"/>
      <c r="O223" s="37"/>
      <c r="P223" s="37"/>
      <c r="Q223" s="37"/>
      <c r="R223" s="43"/>
      <c r="S223" s="37"/>
      <c r="T223" s="37"/>
      <c r="U223" s="947"/>
      <c r="V223" s="37"/>
      <c r="W223" s="37"/>
      <c r="X223" s="37"/>
      <c r="Y223" s="37"/>
      <c r="Z223" s="37"/>
      <c r="AA223" s="572"/>
      <c r="AB223" s="963"/>
      <c r="AC223" s="963"/>
      <c r="AD223" s="963"/>
      <c r="AE223" s="963"/>
      <c r="AF223" s="36">
        <v>11</v>
      </c>
    </row>
    <row r="224" s="36" customFormat="1" ht="11.55" customHeight="1" spans="1:32">
      <c r="A224" s="946"/>
      <c r="B224" s="43"/>
      <c r="C224" s="43"/>
      <c r="K224" s="37"/>
      <c r="L224" s="43"/>
      <c r="M224" s="43"/>
      <c r="N224" s="37"/>
      <c r="O224" s="37"/>
      <c r="P224" s="37"/>
      <c r="Q224" s="37"/>
      <c r="R224" s="43"/>
      <c r="S224" s="37"/>
      <c r="T224" s="37"/>
      <c r="U224" s="947"/>
      <c r="V224" s="37"/>
      <c r="W224" s="37"/>
      <c r="X224" s="37"/>
      <c r="Y224" s="37"/>
      <c r="Z224" s="37"/>
      <c r="AA224" s="572"/>
      <c r="AB224" s="963"/>
      <c r="AC224" s="963"/>
      <c r="AD224" s="963"/>
      <c r="AE224" s="963"/>
      <c r="AF224" s="36">
        <v>11</v>
      </c>
    </row>
    <row r="225" s="36" customFormat="1" ht="11.55" customHeight="1" spans="1:32">
      <c r="A225" s="946"/>
      <c r="B225" s="43"/>
      <c r="C225" s="43"/>
      <c r="K225" s="37"/>
      <c r="L225" s="43"/>
      <c r="M225" s="43"/>
      <c r="N225" s="37"/>
      <c r="O225" s="37"/>
      <c r="P225" s="37"/>
      <c r="Q225" s="37"/>
      <c r="R225" s="43"/>
      <c r="S225" s="37"/>
      <c r="T225" s="37"/>
      <c r="U225" s="947"/>
      <c r="V225" s="37"/>
      <c r="W225" s="37"/>
      <c r="X225" s="37"/>
      <c r="Y225" s="37"/>
      <c r="Z225" s="37"/>
      <c r="AA225" s="572"/>
      <c r="AB225" s="963"/>
      <c r="AC225" s="963"/>
      <c r="AD225" s="963"/>
      <c r="AE225" s="963"/>
      <c r="AF225" s="36">
        <v>11</v>
      </c>
    </row>
    <row r="226" s="36" customFormat="1" ht="11.55" customHeight="1" spans="1:32">
      <c r="A226" s="946"/>
      <c r="B226" s="43"/>
      <c r="C226" s="43"/>
      <c r="K226" s="37"/>
      <c r="L226" s="43"/>
      <c r="M226" s="43"/>
      <c r="N226" s="37"/>
      <c r="O226" s="37"/>
      <c r="P226" s="37"/>
      <c r="Q226" s="37"/>
      <c r="R226" s="43"/>
      <c r="S226" s="37"/>
      <c r="T226" s="37"/>
      <c r="U226" s="947"/>
      <c r="V226" s="37"/>
      <c r="W226" s="37"/>
      <c r="X226" s="37"/>
      <c r="Y226" s="37"/>
      <c r="Z226" s="37"/>
      <c r="AA226" s="572"/>
      <c r="AB226" s="963"/>
      <c r="AC226" s="963"/>
      <c r="AD226" s="963"/>
      <c r="AE226" s="963"/>
      <c r="AF226" s="36">
        <v>11</v>
      </c>
    </row>
    <row r="227" s="36" customFormat="1" ht="11.55" customHeight="1" spans="1:32">
      <c r="A227" s="946"/>
      <c r="B227" s="43"/>
      <c r="C227" s="43"/>
      <c r="K227" s="37"/>
      <c r="L227" s="43"/>
      <c r="M227" s="43"/>
      <c r="N227" s="37"/>
      <c r="O227" s="37"/>
      <c r="P227" s="37"/>
      <c r="Q227" s="37"/>
      <c r="R227" s="43"/>
      <c r="S227" s="37"/>
      <c r="T227" s="37"/>
      <c r="U227" s="947"/>
      <c r="V227" s="37"/>
      <c r="W227" s="37"/>
      <c r="X227" s="37"/>
      <c r="Y227" s="37"/>
      <c r="Z227" s="37"/>
      <c r="AA227" s="572"/>
      <c r="AB227" s="963"/>
      <c r="AC227" s="963"/>
      <c r="AD227" s="963"/>
      <c r="AE227" s="963"/>
      <c r="AF227" s="36">
        <v>11</v>
      </c>
    </row>
    <row r="228" s="36" customFormat="1" ht="11.55" customHeight="1" spans="1:32">
      <c r="A228" s="946"/>
      <c r="B228" s="43"/>
      <c r="C228" s="43"/>
      <c r="K228" s="37"/>
      <c r="L228" s="43"/>
      <c r="M228" s="43"/>
      <c r="N228" s="37"/>
      <c r="O228" s="37"/>
      <c r="P228" s="37"/>
      <c r="Q228" s="37"/>
      <c r="R228" s="43"/>
      <c r="S228" s="37"/>
      <c r="T228" s="37"/>
      <c r="U228" s="947"/>
      <c r="V228" s="37"/>
      <c r="W228" s="37"/>
      <c r="X228" s="37"/>
      <c r="Y228" s="37"/>
      <c r="Z228" s="37"/>
      <c r="AA228" s="572"/>
      <c r="AB228" s="963"/>
      <c r="AC228" s="963"/>
      <c r="AD228" s="963"/>
      <c r="AE228" s="963"/>
      <c r="AF228" s="36">
        <v>11</v>
      </c>
    </row>
    <row r="229" s="36" customFormat="1" ht="11.55" customHeight="1" spans="1:32">
      <c r="A229" s="946"/>
      <c r="B229" s="43"/>
      <c r="C229" s="43"/>
      <c r="K229" s="37"/>
      <c r="L229" s="43"/>
      <c r="M229" s="43"/>
      <c r="N229" s="37"/>
      <c r="O229" s="37"/>
      <c r="P229" s="37"/>
      <c r="Q229" s="37"/>
      <c r="R229" s="43"/>
      <c r="S229" s="37"/>
      <c r="T229" s="37"/>
      <c r="U229" s="947"/>
      <c r="V229" s="37"/>
      <c r="W229" s="37"/>
      <c r="X229" s="37"/>
      <c r="Y229" s="37"/>
      <c r="Z229" s="37"/>
      <c r="AA229" s="572"/>
      <c r="AB229" s="963"/>
      <c r="AC229" s="963"/>
      <c r="AD229" s="963"/>
      <c r="AE229" s="963"/>
      <c r="AF229" s="36">
        <v>11</v>
      </c>
    </row>
    <row r="230" s="36" customFormat="1" ht="11.55" customHeight="1" spans="1:32">
      <c r="A230" s="946"/>
      <c r="B230" s="43"/>
      <c r="C230" s="43"/>
      <c r="K230" s="37"/>
      <c r="L230" s="43"/>
      <c r="M230" s="43"/>
      <c r="N230" s="37"/>
      <c r="O230" s="37"/>
      <c r="P230" s="37"/>
      <c r="Q230" s="37"/>
      <c r="R230" s="43"/>
      <c r="S230" s="37"/>
      <c r="T230" s="37"/>
      <c r="U230" s="947"/>
      <c r="V230" s="37"/>
      <c r="W230" s="37"/>
      <c r="X230" s="37"/>
      <c r="Y230" s="37"/>
      <c r="Z230" s="37"/>
      <c r="AA230" s="572"/>
      <c r="AB230" s="963"/>
      <c r="AC230" s="963"/>
      <c r="AD230" s="963"/>
      <c r="AE230" s="963"/>
      <c r="AF230" s="36">
        <v>11</v>
      </c>
    </row>
    <row r="231" s="36" customFormat="1" ht="11.55" customHeight="1" spans="1:32">
      <c r="A231" s="946"/>
      <c r="B231" s="43"/>
      <c r="C231" s="43"/>
      <c r="K231" s="37"/>
      <c r="L231" s="43"/>
      <c r="M231" s="43"/>
      <c r="N231" s="37"/>
      <c r="O231" s="37"/>
      <c r="P231" s="37"/>
      <c r="Q231" s="37"/>
      <c r="R231" s="43"/>
      <c r="S231" s="37"/>
      <c r="T231" s="37"/>
      <c r="U231" s="947"/>
      <c r="V231" s="37"/>
      <c r="W231" s="37"/>
      <c r="X231" s="37"/>
      <c r="Y231" s="37"/>
      <c r="Z231" s="37"/>
      <c r="AA231" s="572"/>
      <c r="AB231" s="963"/>
      <c r="AC231" s="963"/>
      <c r="AD231" s="963"/>
      <c r="AE231" s="963"/>
      <c r="AF231" s="36">
        <v>11</v>
      </c>
    </row>
    <row r="232" s="36" customFormat="1" ht="11.55" customHeight="1" spans="1:32">
      <c r="A232" s="946"/>
      <c r="B232" s="43"/>
      <c r="C232" s="43"/>
      <c r="K232" s="37"/>
      <c r="L232" s="43"/>
      <c r="M232" s="43"/>
      <c r="N232" s="37"/>
      <c r="O232" s="37"/>
      <c r="P232" s="37"/>
      <c r="Q232" s="37"/>
      <c r="R232" s="43"/>
      <c r="S232" s="37"/>
      <c r="T232" s="37"/>
      <c r="U232" s="947"/>
      <c r="V232" s="37"/>
      <c r="W232" s="37"/>
      <c r="X232" s="37"/>
      <c r="Y232" s="37"/>
      <c r="Z232" s="37"/>
      <c r="AA232" s="572"/>
      <c r="AB232" s="963"/>
      <c r="AC232" s="963"/>
      <c r="AD232" s="963"/>
      <c r="AE232" s="963"/>
      <c r="AF232" s="36">
        <v>11</v>
      </c>
    </row>
    <row r="233" s="36" customFormat="1" ht="11.55" customHeight="1" spans="1:32">
      <c r="A233" s="946"/>
      <c r="B233" s="43"/>
      <c r="C233" s="43"/>
      <c r="K233" s="37"/>
      <c r="L233" s="43"/>
      <c r="M233" s="43"/>
      <c r="N233" s="37"/>
      <c r="O233" s="37"/>
      <c r="P233" s="37"/>
      <c r="Q233" s="37"/>
      <c r="R233" s="43"/>
      <c r="S233" s="37"/>
      <c r="T233" s="37"/>
      <c r="U233" s="947"/>
      <c r="V233" s="37"/>
      <c r="W233" s="37"/>
      <c r="X233" s="37"/>
      <c r="Y233" s="37"/>
      <c r="Z233" s="37"/>
      <c r="AA233" s="572"/>
      <c r="AB233" s="963"/>
      <c r="AC233" s="963"/>
      <c r="AD233" s="963"/>
      <c r="AE233" s="963"/>
      <c r="AF233" s="36">
        <v>11</v>
      </c>
    </row>
    <row r="234" s="36" customFormat="1" ht="11.55" customHeight="1" spans="1:32">
      <c r="A234" s="946"/>
      <c r="B234" s="43"/>
      <c r="C234" s="43"/>
      <c r="K234" s="37"/>
      <c r="L234" s="43"/>
      <c r="M234" s="43"/>
      <c r="N234" s="37"/>
      <c r="O234" s="37"/>
      <c r="P234" s="37"/>
      <c r="Q234" s="37"/>
      <c r="R234" s="43"/>
      <c r="S234" s="37"/>
      <c r="T234" s="37"/>
      <c r="U234" s="947"/>
      <c r="V234" s="37"/>
      <c r="W234" s="37"/>
      <c r="X234" s="37"/>
      <c r="Y234" s="37"/>
      <c r="Z234" s="37"/>
      <c r="AA234" s="572"/>
      <c r="AB234" s="963"/>
      <c r="AC234" s="963"/>
      <c r="AD234" s="963"/>
      <c r="AE234" s="963"/>
      <c r="AF234" s="36">
        <v>11</v>
      </c>
    </row>
    <row r="235" s="36" customFormat="1" ht="11.55" customHeight="1" spans="1:32">
      <c r="A235" s="946"/>
      <c r="B235" s="43"/>
      <c r="C235" s="43"/>
      <c r="K235" s="37"/>
      <c r="L235" s="43"/>
      <c r="M235" s="43"/>
      <c r="N235" s="37"/>
      <c r="O235" s="37"/>
      <c r="P235" s="37"/>
      <c r="Q235" s="37"/>
      <c r="R235" s="43"/>
      <c r="S235" s="37"/>
      <c r="T235" s="37"/>
      <c r="U235" s="947"/>
      <c r="V235" s="37"/>
      <c r="W235" s="37"/>
      <c r="X235" s="37"/>
      <c r="Y235" s="37"/>
      <c r="Z235" s="37"/>
      <c r="AA235" s="572"/>
      <c r="AB235" s="963"/>
      <c r="AC235" s="963"/>
      <c r="AD235" s="963"/>
      <c r="AE235" s="963"/>
      <c r="AF235" s="36">
        <v>11</v>
      </c>
    </row>
    <row r="236" s="36" customFormat="1" ht="11.55" customHeight="1" spans="1:32">
      <c r="A236" s="946"/>
      <c r="B236" s="43"/>
      <c r="C236" s="43"/>
      <c r="K236" s="37"/>
      <c r="L236" s="43"/>
      <c r="M236" s="43"/>
      <c r="N236" s="37"/>
      <c r="O236" s="37"/>
      <c r="P236" s="37"/>
      <c r="Q236" s="37"/>
      <c r="R236" s="43"/>
      <c r="S236" s="37"/>
      <c r="T236" s="37"/>
      <c r="U236" s="947"/>
      <c r="V236" s="37"/>
      <c r="W236" s="37"/>
      <c r="X236" s="37"/>
      <c r="Y236" s="37"/>
      <c r="Z236" s="37"/>
      <c r="AA236" s="572"/>
      <c r="AB236" s="963"/>
      <c r="AC236" s="963"/>
      <c r="AD236" s="963"/>
      <c r="AE236" s="963"/>
      <c r="AF236" s="36">
        <v>11</v>
      </c>
    </row>
    <row r="237" s="36" customFormat="1" ht="11.55" customHeight="1" spans="1:32">
      <c r="A237" s="946"/>
      <c r="B237" s="43"/>
      <c r="C237" s="43"/>
      <c r="K237" s="37"/>
      <c r="L237" s="43"/>
      <c r="M237" s="43"/>
      <c r="N237" s="37"/>
      <c r="O237" s="37"/>
      <c r="P237" s="37"/>
      <c r="Q237" s="37"/>
      <c r="R237" s="43"/>
      <c r="S237" s="37"/>
      <c r="T237" s="37"/>
      <c r="U237" s="947"/>
      <c r="V237" s="37"/>
      <c r="W237" s="37"/>
      <c r="X237" s="37"/>
      <c r="Y237" s="37"/>
      <c r="Z237" s="37"/>
      <c r="AA237" s="572"/>
      <c r="AB237" s="963"/>
      <c r="AC237" s="963"/>
      <c r="AD237" s="963"/>
      <c r="AE237" s="963"/>
      <c r="AF237" s="36">
        <v>11</v>
      </c>
    </row>
    <row r="238" s="36" customFormat="1" ht="11.55" customHeight="1" spans="1:32">
      <c r="A238" s="946"/>
      <c r="B238" s="43"/>
      <c r="C238" s="43"/>
      <c r="K238" s="37"/>
      <c r="L238" s="43"/>
      <c r="M238" s="43"/>
      <c r="N238" s="37"/>
      <c r="O238" s="37"/>
      <c r="P238" s="37"/>
      <c r="Q238" s="37"/>
      <c r="R238" s="43"/>
      <c r="S238" s="37"/>
      <c r="T238" s="37"/>
      <c r="U238" s="947"/>
      <c r="V238" s="37"/>
      <c r="W238" s="37"/>
      <c r="X238" s="37"/>
      <c r="Y238" s="37"/>
      <c r="Z238" s="37"/>
      <c r="AA238" s="572"/>
      <c r="AB238" s="963"/>
      <c r="AC238" s="963"/>
      <c r="AD238" s="963"/>
      <c r="AE238" s="963"/>
      <c r="AF238" s="36">
        <v>11</v>
      </c>
    </row>
    <row r="239" s="36" customFormat="1" ht="11.55" customHeight="1" spans="1:32">
      <c r="A239" s="946"/>
      <c r="B239" s="43"/>
      <c r="C239" s="43"/>
      <c r="K239" s="37"/>
      <c r="L239" s="43"/>
      <c r="M239" s="43"/>
      <c r="N239" s="37"/>
      <c r="O239" s="37"/>
      <c r="P239" s="37"/>
      <c r="Q239" s="37"/>
      <c r="R239" s="43"/>
      <c r="S239" s="37"/>
      <c r="T239" s="37"/>
      <c r="U239" s="947"/>
      <c r="V239" s="37"/>
      <c r="W239" s="37"/>
      <c r="X239" s="37"/>
      <c r="Y239" s="37"/>
      <c r="Z239" s="37"/>
      <c r="AA239" s="572"/>
      <c r="AB239" s="963"/>
      <c r="AC239" s="963"/>
      <c r="AD239" s="963"/>
      <c r="AE239" s="963"/>
      <c r="AF239" s="36">
        <v>11</v>
      </c>
    </row>
    <row r="240" s="36" customFormat="1" ht="11.55" customHeight="1" spans="1:32">
      <c r="A240" s="946"/>
      <c r="B240" s="43"/>
      <c r="C240" s="43"/>
      <c r="K240" s="37"/>
      <c r="L240" s="43"/>
      <c r="M240" s="43"/>
      <c r="N240" s="37"/>
      <c r="O240" s="37"/>
      <c r="P240" s="37"/>
      <c r="Q240" s="37"/>
      <c r="R240" s="43"/>
      <c r="S240" s="37"/>
      <c r="T240" s="37"/>
      <c r="U240" s="947"/>
      <c r="V240" s="37"/>
      <c r="W240" s="37"/>
      <c r="X240" s="37"/>
      <c r="Y240" s="37"/>
      <c r="Z240" s="37"/>
      <c r="AA240" s="572"/>
      <c r="AB240" s="963"/>
      <c r="AC240" s="963"/>
      <c r="AD240" s="963"/>
      <c r="AE240" s="963"/>
      <c r="AF240" s="36">
        <v>11</v>
      </c>
    </row>
    <row r="241" s="36" customFormat="1" ht="11.55" customHeight="1" spans="1:32">
      <c r="A241" s="946"/>
      <c r="B241" s="43"/>
      <c r="C241" s="43"/>
      <c r="K241" s="37"/>
      <c r="L241" s="43"/>
      <c r="M241" s="43"/>
      <c r="N241" s="37"/>
      <c r="O241" s="37"/>
      <c r="P241" s="37"/>
      <c r="Q241" s="37"/>
      <c r="R241" s="43"/>
      <c r="S241" s="37"/>
      <c r="T241" s="37"/>
      <c r="U241" s="947"/>
      <c r="V241" s="37"/>
      <c r="W241" s="37"/>
      <c r="X241" s="37"/>
      <c r="Y241" s="37"/>
      <c r="Z241" s="37"/>
      <c r="AA241" s="572"/>
      <c r="AB241" s="963"/>
      <c r="AC241" s="963"/>
      <c r="AD241" s="963"/>
      <c r="AE241" s="963"/>
      <c r="AF241" s="36">
        <v>11</v>
      </c>
    </row>
    <row r="242" s="36" customFormat="1" ht="11.55" customHeight="1" spans="1:32">
      <c r="A242" s="946"/>
      <c r="B242" s="43"/>
      <c r="C242" s="43"/>
      <c r="K242" s="37"/>
      <c r="L242" s="43"/>
      <c r="M242" s="43"/>
      <c r="N242" s="37"/>
      <c r="O242" s="37"/>
      <c r="P242" s="37"/>
      <c r="Q242" s="37"/>
      <c r="R242" s="43"/>
      <c r="S242" s="37"/>
      <c r="T242" s="37"/>
      <c r="U242" s="947"/>
      <c r="V242" s="37"/>
      <c r="W242" s="37"/>
      <c r="X242" s="37"/>
      <c r="Y242" s="37"/>
      <c r="Z242" s="37"/>
      <c r="AA242" s="572"/>
      <c r="AB242" s="963"/>
      <c r="AC242" s="963"/>
      <c r="AD242" s="963"/>
      <c r="AE242" s="963"/>
      <c r="AF242" s="36">
        <v>11</v>
      </c>
    </row>
    <row r="243" s="36" customFormat="1" ht="11.55" customHeight="1" spans="1:32">
      <c r="A243" s="946"/>
      <c r="B243" s="43"/>
      <c r="C243" s="43"/>
      <c r="K243" s="37"/>
      <c r="L243" s="43"/>
      <c r="M243" s="43"/>
      <c r="N243" s="37"/>
      <c r="O243" s="37"/>
      <c r="P243" s="37"/>
      <c r="Q243" s="37"/>
      <c r="R243" s="43"/>
      <c r="S243" s="37"/>
      <c r="T243" s="37"/>
      <c r="U243" s="947"/>
      <c r="V243" s="37"/>
      <c r="W243" s="37"/>
      <c r="X243" s="37"/>
      <c r="Y243" s="37"/>
      <c r="Z243" s="37"/>
      <c r="AA243" s="572"/>
      <c r="AB243" s="963"/>
      <c r="AC243" s="963"/>
      <c r="AD243" s="963"/>
      <c r="AE243" s="963"/>
      <c r="AF243" s="36">
        <v>11</v>
      </c>
    </row>
    <row r="244" s="36" customFormat="1" ht="11.55" customHeight="1" spans="1:32">
      <c r="A244" s="946"/>
      <c r="B244" s="43"/>
      <c r="C244" s="43"/>
      <c r="K244" s="37"/>
      <c r="L244" s="43"/>
      <c r="M244" s="43"/>
      <c r="N244" s="37"/>
      <c r="O244" s="37"/>
      <c r="P244" s="37"/>
      <c r="Q244" s="37"/>
      <c r="R244" s="43"/>
      <c r="S244" s="37"/>
      <c r="T244" s="37"/>
      <c r="U244" s="947"/>
      <c r="V244" s="37"/>
      <c r="W244" s="37"/>
      <c r="X244" s="37"/>
      <c r="Y244" s="37"/>
      <c r="Z244" s="37"/>
      <c r="AA244" s="572"/>
      <c r="AB244" s="963"/>
      <c r="AC244" s="963"/>
      <c r="AD244" s="963"/>
      <c r="AE244" s="963"/>
      <c r="AF244" s="36">
        <v>11</v>
      </c>
    </row>
    <row r="245" s="36" customFormat="1" ht="11.55" customHeight="1" spans="1:32">
      <c r="A245" s="946"/>
      <c r="B245" s="43"/>
      <c r="C245" s="43"/>
      <c r="K245" s="37"/>
      <c r="L245" s="43"/>
      <c r="M245" s="43"/>
      <c r="N245" s="37"/>
      <c r="O245" s="37"/>
      <c r="P245" s="37"/>
      <c r="Q245" s="37"/>
      <c r="R245" s="43"/>
      <c r="S245" s="37"/>
      <c r="T245" s="37"/>
      <c r="U245" s="947"/>
      <c r="V245" s="37"/>
      <c r="W245" s="37"/>
      <c r="X245" s="37"/>
      <c r="Y245" s="37"/>
      <c r="Z245" s="37"/>
      <c r="AA245" s="572"/>
      <c r="AB245" s="963"/>
      <c r="AC245" s="963"/>
      <c r="AD245" s="963"/>
      <c r="AE245" s="963"/>
      <c r="AF245" s="36">
        <v>11</v>
      </c>
    </row>
    <row r="246" s="36" customFormat="1" ht="11.55" customHeight="1" spans="1:32">
      <c r="A246" s="946"/>
      <c r="B246" s="43"/>
      <c r="C246" s="43"/>
      <c r="K246" s="37"/>
      <c r="L246" s="43"/>
      <c r="M246" s="43"/>
      <c r="N246" s="37"/>
      <c r="O246" s="37"/>
      <c r="P246" s="37"/>
      <c r="Q246" s="37"/>
      <c r="R246" s="43"/>
      <c r="S246" s="37"/>
      <c r="T246" s="37"/>
      <c r="U246" s="947"/>
      <c r="V246" s="37"/>
      <c r="W246" s="37"/>
      <c r="X246" s="37"/>
      <c r="Y246" s="37"/>
      <c r="Z246" s="37"/>
      <c r="AA246" s="572"/>
      <c r="AB246" s="963"/>
      <c r="AC246" s="963"/>
      <c r="AD246" s="963"/>
      <c r="AE246" s="963"/>
      <c r="AF246" s="36">
        <v>11</v>
      </c>
    </row>
    <row r="247" s="36" customFormat="1" ht="11.55" customHeight="1" spans="1:32">
      <c r="A247" s="946"/>
      <c r="B247" s="43"/>
      <c r="C247" s="43"/>
      <c r="K247" s="37"/>
      <c r="L247" s="43"/>
      <c r="M247" s="43"/>
      <c r="N247" s="37"/>
      <c r="O247" s="37"/>
      <c r="P247" s="37"/>
      <c r="Q247" s="37"/>
      <c r="R247" s="43"/>
      <c r="S247" s="37"/>
      <c r="T247" s="37"/>
      <c r="U247" s="947"/>
      <c r="V247" s="37"/>
      <c r="W247" s="37"/>
      <c r="X247" s="37"/>
      <c r="Y247" s="37"/>
      <c r="Z247" s="37"/>
      <c r="AA247" s="572"/>
      <c r="AB247" s="963"/>
      <c r="AC247" s="963"/>
      <c r="AD247" s="963"/>
      <c r="AE247" s="963"/>
      <c r="AF247" s="36">
        <v>11</v>
      </c>
    </row>
    <row r="248" s="36" customFormat="1" ht="11.55" customHeight="1" spans="1:32">
      <c r="A248" s="946"/>
      <c r="B248" s="43"/>
      <c r="C248" s="43"/>
      <c r="K248" s="37"/>
      <c r="L248" s="43"/>
      <c r="M248" s="43"/>
      <c r="N248" s="37"/>
      <c r="O248" s="37"/>
      <c r="P248" s="37"/>
      <c r="Q248" s="37"/>
      <c r="R248" s="43"/>
      <c r="S248" s="37"/>
      <c r="T248" s="37"/>
      <c r="U248" s="947"/>
      <c r="V248" s="37"/>
      <c r="W248" s="37"/>
      <c r="X248" s="37"/>
      <c r="Y248" s="37"/>
      <c r="Z248" s="37"/>
      <c r="AA248" s="572"/>
      <c r="AB248" s="963"/>
      <c r="AC248" s="963"/>
      <c r="AD248" s="963"/>
      <c r="AE248" s="963"/>
      <c r="AF248" s="36">
        <v>11</v>
      </c>
    </row>
    <row r="249" s="36" customFormat="1" ht="11.55" customHeight="1" spans="1:32">
      <c r="A249" s="946"/>
      <c r="B249" s="43"/>
      <c r="C249" s="43"/>
      <c r="K249" s="37"/>
      <c r="L249" s="43"/>
      <c r="M249" s="43"/>
      <c r="N249" s="37"/>
      <c r="O249" s="37"/>
      <c r="P249" s="37"/>
      <c r="Q249" s="37"/>
      <c r="R249" s="43"/>
      <c r="S249" s="37"/>
      <c r="T249" s="37"/>
      <c r="U249" s="947"/>
      <c r="V249" s="37"/>
      <c r="W249" s="37"/>
      <c r="X249" s="37"/>
      <c r="Y249" s="37"/>
      <c r="Z249" s="37"/>
      <c r="AA249" s="572"/>
      <c r="AB249" s="963"/>
      <c r="AC249" s="963"/>
      <c r="AD249" s="963"/>
      <c r="AE249" s="963"/>
      <c r="AF249" s="36">
        <v>11</v>
      </c>
    </row>
    <row r="250" s="36" customFormat="1" ht="11.55" customHeight="1" spans="1:32">
      <c r="A250" s="946"/>
      <c r="B250" s="43"/>
      <c r="C250" s="43"/>
      <c r="K250" s="37"/>
      <c r="L250" s="43"/>
      <c r="M250" s="43"/>
      <c r="N250" s="37"/>
      <c r="O250" s="37"/>
      <c r="P250" s="37"/>
      <c r="Q250" s="37"/>
      <c r="R250" s="43"/>
      <c r="S250" s="37"/>
      <c r="T250" s="37"/>
      <c r="U250" s="947"/>
      <c r="V250" s="37"/>
      <c r="W250" s="37"/>
      <c r="X250" s="37"/>
      <c r="Y250" s="37"/>
      <c r="Z250" s="37"/>
      <c r="AA250" s="572"/>
      <c r="AB250" s="963"/>
      <c r="AC250" s="963"/>
      <c r="AD250" s="963"/>
      <c r="AE250" s="963"/>
      <c r="AF250" s="36">
        <v>11</v>
      </c>
    </row>
    <row r="251" s="36" customFormat="1" ht="11.55" customHeight="1" spans="1:32">
      <c r="A251" s="946"/>
      <c r="B251" s="43"/>
      <c r="C251" s="43"/>
      <c r="K251" s="37"/>
      <c r="L251" s="43"/>
      <c r="M251" s="43"/>
      <c r="N251" s="37"/>
      <c r="O251" s="37"/>
      <c r="P251" s="37"/>
      <c r="Q251" s="37"/>
      <c r="R251" s="43"/>
      <c r="S251" s="37"/>
      <c r="T251" s="37"/>
      <c r="U251" s="947"/>
      <c r="V251" s="37"/>
      <c r="W251" s="37"/>
      <c r="X251" s="37"/>
      <c r="Y251" s="37"/>
      <c r="Z251" s="37"/>
      <c r="AA251" s="572"/>
      <c r="AB251" s="963"/>
      <c r="AC251" s="963"/>
      <c r="AD251" s="963"/>
      <c r="AE251" s="963"/>
      <c r="AF251" s="36">
        <v>11</v>
      </c>
    </row>
    <row r="252" s="36" customFormat="1" ht="11.55" customHeight="1" spans="1:32">
      <c r="A252" s="946"/>
      <c r="B252" s="43"/>
      <c r="C252" s="43"/>
      <c r="K252" s="37"/>
      <c r="L252" s="43"/>
      <c r="M252" s="43"/>
      <c r="N252" s="37"/>
      <c r="O252" s="37"/>
      <c r="P252" s="37"/>
      <c r="Q252" s="37"/>
      <c r="R252" s="43"/>
      <c r="S252" s="37"/>
      <c r="T252" s="37"/>
      <c r="U252" s="947"/>
      <c r="V252" s="37"/>
      <c r="W252" s="37"/>
      <c r="X252" s="37"/>
      <c r="Y252" s="37"/>
      <c r="Z252" s="37"/>
      <c r="AA252" s="572"/>
      <c r="AB252" s="963"/>
      <c r="AC252" s="963"/>
      <c r="AD252" s="963"/>
      <c r="AE252" s="963"/>
      <c r="AF252" s="36">
        <v>11</v>
      </c>
    </row>
    <row r="253" s="36" customFormat="1" ht="11.55" customHeight="1" spans="1:32">
      <c r="A253" s="946"/>
      <c r="B253" s="43"/>
      <c r="C253" s="43"/>
      <c r="K253" s="37"/>
      <c r="L253" s="43"/>
      <c r="M253" s="43"/>
      <c r="N253" s="37"/>
      <c r="O253" s="37"/>
      <c r="P253" s="37"/>
      <c r="Q253" s="37"/>
      <c r="R253" s="43"/>
      <c r="S253" s="37"/>
      <c r="T253" s="37"/>
      <c r="U253" s="947"/>
      <c r="V253" s="37"/>
      <c r="W253" s="37"/>
      <c r="X253" s="37"/>
      <c r="Y253" s="37"/>
      <c r="Z253" s="37"/>
      <c r="AA253" s="572"/>
      <c r="AB253" s="963"/>
      <c r="AC253" s="963"/>
      <c r="AD253" s="963"/>
      <c r="AE253" s="963"/>
      <c r="AF253" s="36">
        <v>11</v>
      </c>
    </row>
    <row r="254" s="36" customFormat="1" ht="11.55" customHeight="1" spans="1:32">
      <c r="A254" s="946"/>
      <c r="B254" s="43"/>
      <c r="C254" s="43"/>
      <c r="K254" s="37"/>
      <c r="L254" s="43"/>
      <c r="M254" s="43"/>
      <c r="N254" s="37"/>
      <c r="O254" s="37"/>
      <c r="P254" s="37"/>
      <c r="Q254" s="37"/>
      <c r="R254" s="43"/>
      <c r="S254" s="37"/>
      <c r="T254" s="37"/>
      <c r="U254" s="947"/>
      <c r="V254" s="37"/>
      <c r="W254" s="37"/>
      <c r="X254" s="37"/>
      <c r="Y254" s="37"/>
      <c r="Z254" s="37"/>
      <c r="AA254" s="572"/>
      <c r="AB254" s="963"/>
      <c r="AC254" s="963"/>
      <c r="AD254" s="963"/>
      <c r="AE254" s="963"/>
      <c r="AF254" s="36">
        <v>11</v>
      </c>
    </row>
    <row r="255" s="36" customFormat="1" ht="11.55" customHeight="1" spans="1:32">
      <c r="A255" s="946"/>
      <c r="B255" s="43"/>
      <c r="C255" s="43"/>
      <c r="K255" s="37"/>
      <c r="L255" s="43"/>
      <c r="M255" s="43"/>
      <c r="N255" s="37"/>
      <c r="O255" s="37"/>
      <c r="P255" s="37"/>
      <c r="Q255" s="37"/>
      <c r="R255" s="43"/>
      <c r="S255" s="37"/>
      <c r="T255" s="37"/>
      <c r="U255" s="947"/>
      <c r="V255" s="37"/>
      <c r="W255" s="37"/>
      <c r="X255" s="37"/>
      <c r="Y255" s="37"/>
      <c r="Z255" s="37"/>
      <c r="AA255" s="572"/>
      <c r="AB255" s="963"/>
      <c r="AC255" s="963"/>
      <c r="AD255" s="963"/>
      <c r="AE255" s="963"/>
      <c r="AF255" s="36">
        <v>11</v>
      </c>
    </row>
    <row r="256" s="36" customFormat="1" ht="11.55" customHeight="1" spans="1:32">
      <c r="A256" s="946"/>
      <c r="B256" s="43"/>
      <c r="C256" s="43"/>
      <c r="K256" s="37"/>
      <c r="L256" s="43"/>
      <c r="M256" s="43"/>
      <c r="N256" s="37"/>
      <c r="O256" s="37"/>
      <c r="P256" s="37"/>
      <c r="Q256" s="37"/>
      <c r="R256" s="43"/>
      <c r="S256" s="37"/>
      <c r="T256" s="37"/>
      <c r="U256" s="947"/>
      <c r="V256" s="37"/>
      <c r="W256" s="37"/>
      <c r="X256" s="37"/>
      <c r="Y256" s="37"/>
      <c r="Z256" s="37"/>
      <c r="AA256" s="572"/>
      <c r="AB256" s="963"/>
      <c r="AC256" s="963"/>
      <c r="AD256" s="963"/>
      <c r="AE256" s="963"/>
      <c r="AF256" s="36">
        <v>11</v>
      </c>
    </row>
    <row r="257" s="36" customFormat="1" ht="11.55" customHeight="1" spans="1:32">
      <c r="A257" s="946"/>
      <c r="B257" s="43"/>
      <c r="C257" s="43"/>
      <c r="K257" s="37"/>
      <c r="L257" s="43"/>
      <c r="M257" s="43"/>
      <c r="N257" s="37"/>
      <c r="O257" s="37"/>
      <c r="P257" s="37"/>
      <c r="Q257" s="37"/>
      <c r="R257" s="43"/>
      <c r="S257" s="37"/>
      <c r="T257" s="37"/>
      <c r="U257" s="947"/>
      <c r="V257" s="37"/>
      <c r="W257" s="37"/>
      <c r="X257" s="37"/>
      <c r="Y257" s="37"/>
      <c r="Z257" s="37"/>
      <c r="AA257" s="572"/>
      <c r="AB257" s="963"/>
      <c r="AC257" s="963"/>
      <c r="AD257" s="963"/>
      <c r="AE257" s="963"/>
      <c r="AF257" s="36">
        <v>11</v>
      </c>
    </row>
    <row r="258" s="36" customFormat="1" ht="11.55" customHeight="1" spans="1:32">
      <c r="A258" s="946"/>
      <c r="B258" s="43"/>
      <c r="C258" s="43"/>
      <c r="K258" s="37"/>
      <c r="L258" s="43"/>
      <c r="M258" s="43"/>
      <c r="N258" s="37"/>
      <c r="O258" s="37"/>
      <c r="P258" s="37"/>
      <c r="Q258" s="37"/>
      <c r="R258" s="43"/>
      <c r="S258" s="37"/>
      <c r="T258" s="37"/>
      <c r="U258" s="947"/>
      <c r="V258" s="37"/>
      <c r="W258" s="37"/>
      <c r="X258" s="37"/>
      <c r="Y258" s="37"/>
      <c r="Z258" s="37"/>
      <c r="AA258" s="572"/>
      <c r="AB258" s="963"/>
      <c r="AC258" s="963"/>
      <c r="AD258" s="963"/>
      <c r="AE258" s="963"/>
      <c r="AF258" s="36">
        <v>11</v>
      </c>
    </row>
    <row r="259" s="36" customFormat="1" ht="11.55" customHeight="1" spans="1:32">
      <c r="A259" s="946"/>
      <c r="B259" s="43"/>
      <c r="C259" s="43"/>
      <c r="K259" s="37"/>
      <c r="L259" s="43"/>
      <c r="M259" s="43"/>
      <c r="N259" s="37"/>
      <c r="O259" s="37"/>
      <c r="P259" s="37"/>
      <c r="Q259" s="37"/>
      <c r="R259" s="43"/>
      <c r="S259" s="37"/>
      <c r="T259" s="37"/>
      <c r="U259" s="947"/>
      <c r="V259" s="37"/>
      <c r="W259" s="37"/>
      <c r="X259" s="37"/>
      <c r="Y259" s="37"/>
      <c r="Z259" s="37"/>
      <c r="AA259" s="572"/>
      <c r="AB259" s="963"/>
      <c r="AC259" s="963"/>
      <c r="AD259" s="963"/>
      <c r="AE259" s="963"/>
      <c r="AF259" s="36">
        <v>11</v>
      </c>
    </row>
    <row r="260" s="36" customFormat="1" ht="11.55" customHeight="1" spans="1:32">
      <c r="A260" s="946"/>
      <c r="B260" s="43"/>
      <c r="C260" s="43"/>
      <c r="K260" s="37"/>
      <c r="L260" s="43"/>
      <c r="M260" s="43"/>
      <c r="N260" s="37"/>
      <c r="O260" s="37"/>
      <c r="P260" s="37"/>
      <c r="Q260" s="37"/>
      <c r="R260" s="43"/>
      <c r="S260" s="37"/>
      <c r="T260" s="37"/>
      <c r="U260" s="947"/>
      <c r="V260" s="37"/>
      <c r="W260" s="37"/>
      <c r="X260" s="37"/>
      <c r="Y260" s="37"/>
      <c r="Z260" s="37"/>
      <c r="AA260" s="572"/>
      <c r="AB260" s="963"/>
      <c r="AC260" s="963"/>
      <c r="AD260" s="963"/>
      <c r="AE260" s="963"/>
      <c r="AF260" s="36">
        <v>11</v>
      </c>
    </row>
    <row r="261" s="36" customFormat="1" ht="11.55" customHeight="1" spans="1:32">
      <c r="A261" s="946"/>
      <c r="B261" s="43"/>
      <c r="C261" s="43"/>
      <c r="K261" s="37"/>
      <c r="L261" s="43"/>
      <c r="M261" s="43"/>
      <c r="N261" s="37"/>
      <c r="O261" s="37"/>
      <c r="P261" s="37"/>
      <c r="Q261" s="37"/>
      <c r="R261" s="43"/>
      <c r="S261" s="37"/>
      <c r="T261" s="37"/>
      <c r="U261" s="947"/>
      <c r="V261" s="37"/>
      <c r="W261" s="37"/>
      <c r="X261" s="37"/>
      <c r="Y261" s="37"/>
      <c r="Z261" s="37"/>
      <c r="AA261" s="572"/>
      <c r="AB261" s="963"/>
      <c r="AC261" s="963"/>
      <c r="AD261" s="963"/>
      <c r="AE261" s="963"/>
      <c r="AF261" s="36">
        <v>11</v>
      </c>
    </row>
    <row r="262" s="36" customFormat="1" ht="11.55" customHeight="1" spans="1:32">
      <c r="A262" s="946"/>
      <c r="B262" s="43"/>
      <c r="C262" s="43"/>
      <c r="K262" s="37"/>
      <c r="L262" s="43"/>
      <c r="M262" s="43"/>
      <c r="N262" s="37"/>
      <c r="O262" s="37"/>
      <c r="P262" s="37"/>
      <c r="Q262" s="37"/>
      <c r="R262" s="43"/>
      <c r="S262" s="37"/>
      <c r="T262" s="37"/>
      <c r="U262" s="947"/>
      <c r="V262" s="37"/>
      <c r="W262" s="37"/>
      <c r="X262" s="37"/>
      <c r="Y262" s="37"/>
      <c r="Z262" s="37"/>
      <c r="AA262" s="572"/>
      <c r="AB262" s="963"/>
      <c r="AC262" s="963"/>
      <c r="AD262" s="963"/>
      <c r="AE262" s="963"/>
      <c r="AF262" s="36">
        <v>11</v>
      </c>
    </row>
    <row r="263" s="36" customFormat="1" ht="11.55" customHeight="1" spans="1:32">
      <c r="A263" s="946"/>
      <c r="B263" s="43"/>
      <c r="C263" s="43"/>
      <c r="K263" s="37"/>
      <c r="L263" s="43"/>
      <c r="M263" s="43"/>
      <c r="N263" s="37"/>
      <c r="O263" s="37"/>
      <c r="P263" s="37"/>
      <c r="Q263" s="37"/>
      <c r="R263" s="43"/>
      <c r="S263" s="37"/>
      <c r="T263" s="37"/>
      <c r="U263" s="947"/>
      <c r="V263" s="37"/>
      <c r="W263" s="37"/>
      <c r="X263" s="37"/>
      <c r="Y263" s="37"/>
      <c r="Z263" s="37"/>
      <c r="AA263" s="572"/>
      <c r="AB263" s="963"/>
      <c r="AC263" s="963"/>
      <c r="AD263" s="963"/>
      <c r="AE263" s="963"/>
      <c r="AF263" s="36">
        <v>11</v>
      </c>
    </row>
    <row r="264" s="36" customFormat="1" ht="11.55" customHeight="1" spans="1:32">
      <c r="A264" s="946"/>
      <c r="B264" s="43"/>
      <c r="C264" s="43"/>
      <c r="K264" s="37"/>
      <c r="L264" s="43"/>
      <c r="M264" s="43"/>
      <c r="N264" s="37"/>
      <c r="O264" s="37"/>
      <c r="P264" s="37"/>
      <c r="Q264" s="37"/>
      <c r="R264" s="43"/>
      <c r="S264" s="37"/>
      <c r="T264" s="37"/>
      <c r="U264" s="947"/>
      <c r="V264" s="37"/>
      <c r="W264" s="37"/>
      <c r="X264" s="37"/>
      <c r="Y264" s="37"/>
      <c r="Z264" s="37"/>
      <c r="AA264" s="572"/>
      <c r="AB264" s="963"/>
      <c r="AC264" s="963"/>
      <c r="AD264" s="963"/>
      <c r="AE264" s="963"/>
      <c r="AF264" s="36">
        <v>11</v>
      </c>
    </row>
    <row r="265" s="36" customFormat="1" ht="11.55" customHeight="1" spans="1:32">
      <c r="A265" s="946"/>
      <c r="B265" s="43"/>
      <c r="C265" s="43"/>
      <c r="K265" s="37"/>
      <c r="L265" s="43"/>
      <c r="M265" s="43"/>
      <c r="N265" s="37"/>
      <c r="O265" s="37"/>
      <c r="P265" s="37"/>
      <c r="Q265" s="37"/>
      <c r="R265" s="43"/>
      <c r="S265" s="37"/>
      <c r="T265" s="37"/>
      <c r="U265" s="947"/>
      <c r="V265" s="37"/>
      <c r="W265" s="37"/>
      <c r="X265" s="37"/>
      <c r="Y265" s="37"/>
      <c r="Z265" s="37"/>
      <c r="AA265" s="572"/>
      <c r="AB265" s="963"/>
      <c r="AC265" s="963"/>
      <c r="AD265" s="963"/>
      <c r="AE265" s="963"/>
      <c r="AF265" s="36">
        <v>11</v>
      </c>
    </row>
    <row r="266" s="36" customFormat="1" ht="11.55" customHeight="1" spans="1:32">
      <c r="A266" s="946"/>
      <c r="B266" s="43"/>
      <c r="C266" s="43"/>
      <c r="K266" s="37"/>
      <c r="L266" s="43"/>
      <c r="M266" s="43"/>
      <c r="N266" s="37"/>
      <c r="O266" s="37"/>
      <c r="P266" s="37"/>
      <c r="Q266" s="37"/>
      <c r="R266" s="43"/>
      <c r="S266" s="37"/>
      <c r="T266" s="37"/>
      <c r="U266" s="947"/>
      <c r="V266" s="37"/>
      <c r="W266" s="37"/>
      <c r="X266" s="37"/>
      <c r="Y266" s="37"/>
      <c r="Z266" s="37"/>
      <c r="AA266" s="572"/>
      <c r="AB266" s="963"/>
      <c r="AC266" s="963"/>
      <c r="AD266" s="963"/>
      <c r="AE266" s="963"/>
      <c r="AF266" s="36">
        <v>11</v>
      </c>
    </row>
    <row r="267" s="36" customFormat="1" ht="11.55" customHeight="1" spans="1:32">
      <c r="A267" s="946"/>
      <c r="B267" s="43"/>
      <c r="C267" s="43"/>
      <c r="K267" s="37"/>
      <c r="L267" s="43"/>
      <c r="M267" s="43"/>
      <c r="N267" s="37"/>
      <c r="O267" s="37"/>
      <c r="P267" s="37"/>
      <c r="Q267" s="37"/>
      <c r="R267" s="43"/>
      <c r="S267" s="37"/>
      <c r="T267" s="37"/>
      <c r="U267" s="947"/>
      <c r="V267" s="37"/>
      <c r="W267" s="37"/>
      <c r="X267" s="37"/>
      <c r="Y267" s="37"/>
      <c r="Z267" s="37"/>
      <c r="AA267" s="572"/>
      <c r="AB267" s="963"/>
      <c r="AC267" s="963"/>
      <c r="AD267" s="963"/>
      <c r="AE267" s="963"/>
      <c r="AF267" s="36">
        <v>11</v>
      </c>
    </row>
    <row r="268" s="36" customFormat="1" ht="11.55" customHeight="1" spans="1:32">
      <c r="A268" s="946"/>
      <c r="B268" s="43"/>
      <c r="C268" s="43"/>
      <c r="K268" s="37"/>
      <c r="L268" s="43"/>
      <c r="M268" s="43"/>
      <c r="N268" s="37"/>
      <c r="O268" s="37"/>
      <c r="P268" s="37"/>
      <c r="Q268" s="37"/>
      <c r="R268" s="43"/>
      <c r="S268" s="37"/>
      <c r="T268" s="37"/>
      <c r="U268" s="947"/>
      <c r="V268" s="37"/>
      <c r="W268" s="37"/>
      <c r="X268" s="37"/>
      <c r="Y268" s="37"/>
      <c r="Z268" s="37"/>
      <c r="AA268" s="572"/>
      <c r="AB268" s="963"/>
      <c r="AC268" s="963"/>
      <c r="AD268" s="963"/>
      <c r="AE268" s="963"/>
      <c r="AF268" s="36">
        <v>11</v>
      </c>
    </row>
    <row r="269" s="36" customFormat="1" ht="11.55" customHeight="1" spans="1:32">
      <c r="A269" s="946"/>
      <c r="B269" s="43"/>
      <c r="C269" s="43"/>
      <c r="K269" s="37"/>
      <c r="L269" s="43"/>
      <c r="M269" s="43"/>
      <c r="N269" s="37"/>
      <c r="O269" s="37"/>
      <c r="P269" s="37"/>
      <c r="Q269" s="37"/>
      <c r="R269" s="43"/>
      <c r="S269" s="37"/>
      <c r="T269" s="37"/>
      <c r="U269" s="947"/>
      <c r="V269" s="37"/>
      <c r="W269" s="37"/>
      <c r="X269" s="37"/>
      <c r="Y269" s="37"/>
      <c r="Z269" s="37"/>
      <c r="AA269" s="572"/>
      <c r="AB269" s="963"/>
      <c r="AC269" s="963"/>
      <c r="AD269" s="963"/>
      <c r="AE269" s="963"/>
      <c r="AF269" s="36">
        <v>11</v>
      </c>
    </row>
    <row r="270" s="36" customFormat="1" ht="11.55" customHeight="1" spans="1:32">
      <c r="A270" s="946"/>
      <c r="B270" s="43"/>
      <c r="C270" s="43"/>
      <c r="K270" s="37"/>
      <c r="L270" s="43"/>
      <c r="M270" s="43"/>
      <c r="N270" s="37"/>
      <c r="O270" s="37"/>
      <c r="P270" s="37"/>
      <c r="Q270" s="37"/>
      <c r="R270" s="43"/>
      <c r="S270" s="37"/>
      <c r="T270" s="37"/>
      <c r="U270" s="947"/>
      <c r="V270" s="37"/>
      <c r="W270" s="37"/>
      <c r="X270" s="37"/>
      <c r="Y270" s="37"/>
      <c r="Z270" s="37"/>
      <c r="AA270" s="572"/>
      <c r="AB270" s="963"/>
      <c r="AC270" s="963"/>
      <c r="AD270" s="963"/>
      <c r="AE270" s="963"/>
      <c r="AF270" s="36">
        <v>11</v>
      </c>
    </row>
    <row r="271" s="36" customFormat="1" ht="11.55" customHeight="1" spans="1:32">
      <c r="A271" s="946"/>
      <c r="B271" s="43"/>
      <c r="C271" s="43"/>
      <c r="K271" s="37"/>
      <c r="L271" s="43"/>
      <c r="M271" s="43"/>
      <c r="N271" s="37"/>
      <c r="O271" s="37"/>
      <c r="P271" s="37"/>
      <c r="Q271" s="37"/>
      <c r="R271" s="43"/>
      <c r="S271" s="37"/>
      <c r="T271" s="37"/>
      <c r="U271" s="947"/>
      <c r="V271" s="37"/>
      <c r="W271" s="37"/>
      <c r="X271" s="37"/>
      <c r="Y271" s="37"/>
      <c r="Z271" s="37"/>
      <c r="AA271" s="572"/>
      <c r="AB271" s="963"/>
      <c r="AC271" s="963"/>
      <c r="AD271" s="963"/>
      <c r="AE271" s="963"/>
      <c r="AF271" s="36">
        <v>11</v>
      </c>
    </row>
    <row r="272" s="36" customFormat="1" ht="11.55" customHeight="1" spans="1:32">
      <c r="A272" s="946"/>
      <c r="B272" s="43"/>
      <c r="C272" s="43"/>
      <c r="K272" s="37"/>
      <c r="L272" s="43"/>
      <c r="M272" s="43"/>
      <c r="N272" s="37"/>
      <c r="O272" s="37"/>
      <c r="P272" s="37"/>
      <c r="Q272" s="37"/>
      <c r="R272" s="43"/>
      <c r="S272" s="37"/>
      <c r="T272" s="37"/>
      <c r="U272" s="947"/>
      <c r="V272" s="37"/>
      <c r="W272" s="37"/>
      <c r="X272" s="37"/>
      <c r="Y272" s="37"/>
      <c r="Z272" s="37"/>
      <c r="AA272" s="572"/>
      <c r="AB272" s="963"/>
      <c r="AC272" s="963"/>
      <c r="AD272" s="963"/>
      <c r="AE272" s="963"/>
      <c r="AF272" s="36">
        <v>11</v>
      </c>
    </row>
    <row r="273" s="36" customFormat="1" ht="11.55" customHeight="1" spans="1:32">
      <c r="A273" s="946"/>
      <c r="B273" s="43"/>
      <c r="C273" s="43"/>
      <c r="K273" s="37"/>
      <c r="L273" s="43"/>
      <c r="M273" s="43"/>
      <c r="N273" s="37"/>
      <c r="O273" s="37"/>
      <c r="P273" s="37"/>
      <c r="Q273" s="37"/>
      <c r="R273" s="43"/>
      <c r="S273" s="37"/>
      <c r="T273" s="37"/>
      <c r="U273" s="947"/>
      <c r="V273" s="37"/>
      <c r="W273" s="37"/>
      <c r="X273" s="37"/>
      <c r="Y273" s="37"/>
      <c r="Z273" s="37"/>
      <c r="AA273" s="572"/>
      <c r="AB273" s="963"/>
      <c r="AC273" s="963"/>
      <c r="AD273" s="963"/>
      <c r="AE273" s="963"/>
      <c r="AF273" s="36">
        <v>11</v>
      </c>
    </row>
    <row r="274" s="36" customFormat="1" ht="11.55" customHeight="1" spans="1:32">
      <c r="A274" s="946"/>
      <c r="B274" s="43"/>
      <c r="C274" s="43"/>
      <c r="K274" s="37"/>
      <c r="L274" s="43"/>
      <c r="M274" s="43"/>
      <c r="N274" s="37"/>
      <c r="O274" s="37"/>
      <c r="P274" s="37"/>
      <c r="Q274" s="37"/>
      <c r="R274" s="43"/>
      <c r="S274" s="37"/>
      <c r="T274" s="37"/>
      <c r="U274" s="947"/>
      <c r="V274" s="37"/>
      <c r="W274" s="37"/>
      <c r="X274" s="37"/>
      <c r="Y274" s="37"/>
      <c r="Z274" s="37"/>
      <c r="AA274" s="572"/>
      <c r="AB274" s="963"/>
      <c r="AC274" s="963"/>
      <c r="AD274" s="963"/>
      <c r="AE274" s="963"/>
      <c r="AF274" s="36">
        <v>11</v>
      </c>
    </row>
    <row r="275" s="36" customFormat="1" ht="11.55" customHeight="1" spans="1:32">
      <c r="A275" s="946"/>
      <c r="B275" s="43"/>
      <c r="C275" s="43"/>
      <c r="K275" s="37"/>
      <c r="L275" s="43"/>
      <c r="M275" s="43"/>
      <c r="N275" s="37"/>
      <c r="O275" s="37"/>
      <c r="P275" s="37"/>
      <c r="Q275" s="37"/>
      <c r="R275" s="43"/>
      <c r="S275" s="37"/>
      <c r="T275" s="37"/>
      <c r="U275" s="947"/>
      <c r="V275" s="37"/>
      <c r="W275" s="37"/>
      <c r="X275" s="37"/>
      <c r="Y275" s="37"/>
      <c r="Z275" s="37"/>
      <c r="AA275" s="572"/>
      <c r="AB275" s="963"/>
      <c r="AC275" s="963"/>
      <c r="AD275" s="963"/>
      <c r="AE275" s="963"/>
      <c r="AF275" s="36">
        <v>11</v>
      </c>
    </row>
    <row r="276" s="36" customFormat="1" ht="11.55" customHeight="1" spans="1:32">
      <c r="A276" s="946"/>
      <c r="B276" s="43"/>
      <c r="C276" s="43"/>
      <c r="K276" s="37"/>
      <c r="L276" s="43"/>
      <c r="M276" s="43"/>
      <c r="N276" s="37"/>
      <c r="O276" s="37"/>
      <c r="P276" s="37"/>
      <c r="Q276" s="37"/>
      <c r="R276" s="43"/>
      <c r="S276" s="37"/>
      <c r="T276" s="37"/>
      <c r="U276" s="947"/>
      <c r="V276" s="37"/>
      <c r="W276" s="37"/>
      <c r="X276" s="37"/>
      <c r="Y276" s="37"/>
      <c r="Z276" s="37"/>
      <c r="AA276" s="572"/>
      <c r="AB276" s="963"/>
      <c r="AC276" s="963"/>
      <c r="AD276" s="963"/>
      <c r="AE276" s="963"/>
      <c r="AF276" s="36">
        <v>11</v>
      </c>
    </row>
    <row r="277" s="36" customFormat="1" ht="11.55" customHeight="1" spans="1:32">
      <c r="A277" s="946"/>
      <c r="B277" s="43"/>
      <c r="C277" s="43"/>
      <c r="K277" s="37"/>
      <c r="L277" s="43"/>
      <c r="M277" s="43"/>
      <c r="N277" s="37"/>
      <c r="O277" s="37"/>
      <c r="P277" s="37"/>
      <c r="Q277" s="37"/>
      <c r="R277" s="43"/>
      <c r="S277" s="37"/>
      <c r="T277" s="37"/>
      <c r="U277" s="947"/>
      <c r="V277" s="37"/>
      <c r="W277" s="37"/>
      <c r="X277" s="37"/>
      <c r="Y277" s="37"/>
      <c r="Z277" s="37"/>
      <c r="AA277" s="572"/>
      <c r="AB277" s="963"/>
      <c r="AC277" s="963"/>
      <c r="AD277" s="963"/>
      <c r="AE277" s="963"/>
      <c r="AF277" s="36">
        <v>11</v>
      </c>
    </row>
    <row r="278" s="36" customFormat="1" ht="11.55" customHeight="1" spans="1:32">
      <c r="A278" s="946"/>
      <c r="B278" s="43"/>
      <c r="C278" s="43"/>
      <c r="K278" s="37"/>
      <c r="L278" s="43"/>
      <c r="M278" s="43"/>
      <c r="N278" s="37"/>
      <c r="O278" s="37"/>
      <c r="P278" s="37"/>
      <c r="Q278" s="37"/>
      <c r="R278" s="43"/>
      <c r="S278" s="37"/>
      <c r="T278" s="37"/>
      <c r="U278" s="947"/>
      <c r="V278" s="37"/>
      <c r="W278" s="37"/>
      <c r="X278" s="37"/>
      <c r="Y278" s="37"/>
      <c r="Z278" s="37"/>
      <c r="AA278" s="572"/>
      <c r="AB278" s="963"/>
      <c r="AC278" s="963"/>
      <c r="AD278" s="963"/>
      <c r="AE278" s="963"/>
      <c r="AF278" s="36">
        <v>11</v>
      </c>
    </row>
    <row r="279" s="36" customFormat="1" ht="11.55" customHeight="1" spans="1:32">
      <c r="A279" s="946"/>
      <c r="B279" s="43"/>
      <c r="C279" s="43"/>
      <c r="K279" s="37"/>
      <c r="L279" s="43"/>
      <c r="M279" s="43"/>
      <c r="N279" s="37"/>
      <c r="O279" s="37"/>
      <c r="P279" s="37"/>
      <c r="Q279" s="37"/>
      <c r="R279" s="43"/>
      <c r="S279" s="37"/>
      <c r="T279" s="37"/>
      <c r="U279" s="947"/>
      <c r="V279" s="37"/>
      <c r="W279" s="37"/>
      <c r="X279" s="37"/>
      <c r="Y279" s="37"/>
      <c r="Z279" s="37"/>
      <c r="AA279" s="572"/>
      <c r="AB279" s="963"/>
      <c r="AC279" s="963"/>
      <c r="AD279" s="963"/>
      <c r="AE279" s="963"/>
      <c r="AF279" s="36">
        <v>11</v>
      </c>
    </row>
    <row r="280" s="36" customFormat="1" ht="11.55" customHeight="1" spans="1:32">
      <c r="A280" s="946"/>
      <c r="B280" s="43"/>
      <c r="C280" s="43"/>
      <c r="K280" s="37"/>
      <c r="L280" s="43"/>
      <c r="M280" s="43"/>
      <c r="N280" s="37"/>
      <c r="O280" s="37"/>
      <c r="P280" s="37"/>
      <c r="Q280" s="37"/>
      <c r="R280" s="43"/>
      <c r="S280" s="37"/>
      <c r="T280" s="37"/>
      <c r="U280" s="947"/>
      <c r="V280" s="37"/>
      <c r="W280" s="37"/>
      <c r="X280" s="37"/>
      <c r="Y280" s="37"/>
      <c r="Z280" s="37"/>
      <c r="AA280" s="572"/>
      <c r="AB280" s="963"/>
      <c r="AC280" s="963"/>
      <c r="AD280" s="963"/>
      <c r="AE280" s="963"/>
      <c r="AF280" s="36">
        <v>11</v>
      </c>
    </row>
    <row r="281" s="36" customFormat="1" ht="11.55" customHeight="1" spans="1:32">
      <c r="A281" s="946"/>
      <c r="B281" s="43"/>
      <c r="C281" s="43"/>
      <c r="K281" s="37"/>
      <c r="L281" s="43"/>
      <c r="M281" s="43"/>
      <c r="N281" s="37"/>
      <c r="O281" s="37"/>
      <c r="P281" s="37"/>
      <c r="Q281" s="37"/>
      <c r="R281" s="43"/>
      <c r="S281" s="37"/>
      <c r="T281" s="37"/>
      <c r="U281" s="947"/>
      <c r="V281" s="37"/>
      <c r="W281" s="37"/>
      <c r="X281" s="37"/>
      <c r="Y281" s="37"/>
      <c r="Z281" s="37"/>
      <c r="AA281" s="572"/>
      <c r="AB281" s="963"/>
      <c r="AC281" s="963"/>
      <c r="AD281" s="963"/>
      <c r="AE281" s="963"/>
      <c r="AF281" s="36">
        <v>11</v>
      </c>
    </row>
    <row r="282" s="36" customFormat="1" ht="11.55" customHeight="1" spans="1:32">
      <c r="A282" s="946"/>
      <c r="B282" s="43"/>
      <c r="C282" s="43"/>
      <c r="K282" s="37"/>
      <c r="L282" s="43"/>
      <c r="M282" s="43"/>
      <c r="N282" s="37"/>
      <c r="O282" s="37"/>
      <c r="P282" s="37"/>
      <c r="Q282" s="37"/>
      <c r="R282" s="43"/>
      <c r="S282" s="37"/>
      <c r="T282" s="37"/>
      <c r="U282" s="947"/>
      <c r="V282" s="37"/>
      <c r="W282" s="37"/>
      <c r="X282" s="37"/>
      <c r="Y282" s="37"/>
      <c r="Z282" s="37"/>
      <c r="AA282" s="572"/>
      <c r="AB282" s="963"/>
      <c r="AC282" s="963"/>
      <c r="AD282" s="963"/>
      <c r="AE282" s="963"/>
      <c r="AF282" s="36">
        <v>11</v>
      </c>
    </row>
    <row r="283" s="36" customFormat="1" ht="11.55" customHeight="1" spans="1:32">
      <c r="A283" s="946"/>
      <c r="B283" s="43"/>
      <c r="C283" s="43"/>
      <c r="K283" s="37"/>
      <c r="L283" s="43"/>
      <c r="M283" s="43"/>
      <c r="N283" s="37"/>
      <c r="O283" s="37"/>
      <c r="P283" s="37"/>
      <c r="Q283" s="37"/>
      <c r="R283" s="43"/>
      <c r="S283" s="37"/>
      <c r="T283" s="37"/>
      <c r="U283" s="947"/>
      <c r="V283" s="37"/>
      <c r="W283" s="37"/>
      <c r="X283" s="37"/>
      <c r="Y283" s="37"/>
      <c r="Z283" s="37"/>
      <c r="AA283" s="572"/>
      <c r="AB283" s="963"/>
      <c r="AC283" s="963"/>
      <c r="AD283" s="963"/>
      <c r="AE283" s="963"/>
      <c r="AF283" s="36">
        <v>11</v>
      </c>
    </row>
    <row r="284" s="36" customFormat="1" ht="11.55" customHeight="1" spans="1:32">
      <c r="A284" s="946"/>
      <c r="B284" s="43"/>
      <c r="C284" s="43"/>
      <c r="K284" s="37"/>
      <c r="L284" s="43"/>
      <c r="M284" s="43"/>
      <c r="N284" s="37"/>
      <c r="O284" s="37"/>
      <c r="P284" s="37"/>
      <c r="Q284" s="37"/>
      <c r="R284" s="43"/>
      <c r="S284" s="37"/>
      <c r="T284" s="37"/>
      <c r="U284" s="947"/>
      <c r="V284" s="37"/>
      <c r="W284" s="37"/>
      <c r="X284" s="37"/>
      <c r="Y284" s="37"/>
      <c r="Z284" s="37"/>
      <c r="AA284" s="572"/>
      <c r="AB284" s="963"/>
      <c r="AC284" s="963"/>
      <c r="AD284" s="963"/>
      <c r="AE284" s="963"/>
      <c r="AF284" s="36">
        <v>11</v>
      </c>
    </row>
    <row r="285" s="36" customFormat="1" ht="11.55" customHeight="1" spans="1:32">
      <c r="A285" s="946"/>
      <c r="B285" s="43"/>
      <c r="C285" s="43"/>
      <c r="K285" s="37"/>
      <c r="L285" s="43"/>
      <c r="M285" s="43"/>
      <c r="N285" s="37"/>
      <c r="O285" s="37"/>
      <c r="P285" s="37"/>
      <c r="Q285" s="37"/>
      <c r="R285" s="43"/>
      <c r="S285" s="37"/>
      <c r="T285" s="37"/>
      <c r="U285" s="947"/>
      <c r="V285" s="37"/>
      <c r="W285" s="37"/>
      <c r="X285" s="37"/>
      <c r="Y285" s="37"/>
      <c r="Z285" s="37"/>
      <c r="AA285" s="572"/>
      <c r="AB285" s="963"/>
      <c r="AC285" s="963"/>
      <c r="AD285" s="963"/>
      <c r="AE285" s="963"/>
      <c r="AF285" s="36">
        <v>11</v>
      </c>
    </row>
    <row r="286" s="36" customFormat="1" ht="11.55" customHeight="1" spans="1:32">
      <c r="A286" s="946"/>
      <c r="B286" s="43"/>
      <c r="C286" s="43"/>
      <c r="K286" s="37"/>
      <c r="L286" s="43"/>
      <c r="M286" s="43"/>
      <c r="N286" s="37"/>
      <c r="O286" s="37"/>
      <c r="P286" s="37"/>
      <c r="Q286" s="37"/>
      <c r="R286" s="43"/>
      <c r="S286" s="37"/>
      <c r="T286" s="37"/>
      <c r="U286" s="947"/>
      <c r="V286" s="37"/>
      <c r="W286" s="37"/>
      <c r="X286" s="37"/>
      <c r="Y286" s="37"/>
      <c r="Z286" s="37"/>
      <c r="AA286" s="572"/>
      <c r="AB286" s="963"/>
      <c r="AC286" s="963"/>
      <c r="AD286" s="963"/>
      <c r="AE286" s="963"/>
      <c r="AF286" s="36">
        <v>11</v>
      </c>
    </row>
    <row r="287" s="36" customFormat="1" ht="11.55" customHeight="1" spans="1:32">
      <c r="A287" s="946"/>
      <c r="B287" s="43"/>
      <c r="C287" s="43"/>
      <c r="K287" s="37"/>
      <c r="L287" s="43"/>
      <c r="M287" s="43"/>
      <c r="N287" s="37"/>
      <c r="O287" s="37"/>
      <c r="P287" s="37"/>
      <c r="Q287" s="37"/>
      <c r="R287" s="43"/>
      <c r="S287" s="37"/>
      <c r="T287" s="37"/>
      <c r="U287" s="947"/>
      <c r="V287" s="37"/>
      <c r="W287" s="37"/>
      <c r="X287" s="37"/>
      <c r="Y287" s="37"/>
      <c r="Z287" s="37"/>
      <c r="AA287" s="572"/>
      <c r="AB287" s="963"/>
      <c r="AC287" s="963"/>
      <c r="AD287" s="963"/>
      <c r="AE287" s="963"/>
      <c r="AF287" s="36">
        <v>11</v>
      </c>
    </row>
    <row r="288" s="36" customFormat="1" ht="11.55" customHeight="1" spans="1:32">
      <c r="A288" s="946"/>
      <c r="B288" s="43"/>
      <c r="C288" s="43"/>
      <c r="K288" s="37"/>
      <c r="L288" s="43"/>
      <c r="M288" s="43"/>
      <c r="N288" s="37"/>
      <c r="O288" s="37"/>
      <c r="P288" s="37"/>
      <c r="Q288" s="37"/>
      <c r="R288" s="43"/>
      <c r="S288" s="37"/>
      <c r="T288" s="37"/>
      <c r="U288" s="947"/>
      <c r="V288" s="37"/>
      <c r="W288" s="37"/>
      <c r="X288" s="37"/>
      <c r="Y288" s="37"/>
      <c r="Z288" s="37"/>
      <c r="AA288" s="572"/>
      <c r="AB288" s="963"/>
      <c r="AC288" s="963"/>
      <c r="AD288" s="963"/>
      <c r="AE288" s="963"/>
      <c r="AF288" s="36">
        <v>11</v>
      </c>
    </row>
    <row r="289" ht="11.55" customHeight="1" spans="32:32">
      <c r="AF289" s="42">
        <v>11</v>
      </c>
    </row>
    <row r="290" ht="11.55" customHeight="1" spans="32:32">
      <c r="AF290" s="42">
        <v>11</v>
      </c>
    </row>
    <row r="291" ht="11.55" customHeight="1" spans="32:32">
      <c r="AF291" s="42">
        <v>11</v>
      </c>
    </row>
    <row r="292" ht="11.55" customHeight="1" spans="1:32">
      <c r="A292" s="967"/>
      <c r="B292" s="42"/>
      <c r="K292" s="42"/>
      <c r="N292" s="42"/>
      <c r="O292" s="42"/>
      <c r="P292" s="42"/>
      <c r="Q292" s="42"/>
      <c r="S292" s="42"/>
      <c r="T292" s="42"/>
      <c r="U292" s="42"/>
      <c r="V292" s="42"/>
      <c r="W292" s="42"/>
      <c r="X292" s="42"/>
      <c r="Y292" s="42"/>
      <c r="Z292" s="42"/>
      <c r="AA292" s="42"/>
      <c r="AB292" s="42"/>
      <c r="AC292" s="42"/>
      <c r="AD292" s="42"/>
      <c r="AE292" s="42"/>
      <c r="AF292" s="42">
        <v>11</v>
      </c>
    </row>
    <row r="293" ht="11.55" customHeight="1" spans="1:32">
      <c r="A293" s="967"/>
      <c r="B293" s="42"/>
      <c r="K293" s="42"/>
      <c r="N293" s="42"/>
      <c r="O293" s="42"/>
      <c r="P293" s="42"/>
      <c r="Q293" s="42"/>
      <c r="S293" s="42"/>
      <c r="T293" s="42"/>
      <c r="U293" s="42"/>
      <c r="V293" s="42"/>
      <c r="W293" s="42"/>
      <c r="X293" s="42"/>
      <c r="Y293" s="42"/>
      <c r="Z293" s="42"/>
      <c r="AA293" s="42"/>
      <c r="AB293" s="42"/>
      <c r="AC293" s="42"/>
      <c r="AD293" s="42"/>
      <c r="AE293" s="42"/>
      <c r="AF293" s="42">
        <v>11</v>
      </c>
    </row>
    <row r="294" ht="11.55" customHeight="1" spans="1:32">
      <c r="A294" s="967"/>
      <c r="B294" s="42"/>
      <c r="K294" s="42"/>
      <c r="N294" s="42"/>
      <c r="O294" s="42"/>
      <c r="P294" s="42"/>
      <c r="Q294" s="42"/>
      <c r="S294" s="42"/>
      <c r="T294" s="42"/>
      <c r="U294" s="42"/>
      <c r="V294" s="42"/>
      <c r="W294" s="42"/>
      <c r="X294" s="42"/>
      <c r="Y294" s="42"/>
      <c r="Z294" s="42"/>
      <c r="AA294" s="42"/>
      <c r="AB294" s="42"/>
      <c r="AC294" s="42"/>
      <c r="AD294" s="42"/>
      <c r="AE294" s="42"/>
      <c r="AF294" s="42">
        <v>11</v>
      </c>
    </row>
    <row r="295" ht="11.55" customHeight="1" spans="1:32">
      <c r="A295" s="967"/>
      <c r="B295" s="42"/>
      <c r="K295" s="42"/>
      <c r="N295" s="42"/>
      <c r="O295" s="42"/>
      <c r="P295" s="42"/>
      <c r="Q295" s="42"/>
      <c r="S295" s="42"/>
      <c r="T295" s="42"/>
      <c r="U295" s="42"/>
      <c r="V295" s="42"/>
      <c r="W295" s="42"/>
      <c r="X295" s="42"/>
      <c r="Y295" s="42"/>
      <c r="Z295" s="42"/>
      <c r="AA295" s="42"/>
      <c r="AB295" s="42"/>
      <c r="AC295" s="42"/>
      <c r="AD295" s="42"/>
      <c r="AE295" s="42"/>
      <c r="AF295" s="42">
        <v>11</v>
      </c>
    </row>
    <row r="296" ht="11.55" customHeight="1" spans="1:32">
      <c r="A296" s="967"/>
      <c r="B296" s="42"/>
      <c r="K296" s="42"/>
      <c r="N296" s="42"/>
      <c r="O296" s="42"/>
      <c r="P296" s="42"/>
      <c r="Q296" s="42"/>
      <c r="S296" s="42"/>
      <c r="T296" s="42"/>
      <c r="U296" s="42"/>
      <c r="V296" s="42"/>
      <c r="W296" s="42"/>
      <c r="X296" s="42"/>
      <c r="Y296" s="42"/>
      <c r="Z296" s="42"/>
      <c r="AA296" s="42"/>
      <c r="AB296" s="42"/>
      <c r="AC296" s="42"/>
      <c r="AD296" s="42"/>
      <c r="AE296" s="42"/>
      <c r="AF296" s="42">
        <v>11</v>
      </c>
    </row>
    <row r="297" ht="11.55" customHeight="1" spans="1:32">
      <c r="A297" s="967"/>
      <c r="B297" s="42"/>
      <c r="K297" s="42"/>
      <c r="N297" s="42"/>
      <c r="O297" s="42"/>
      <c r="P297" s="42"/>
      <c r="Q297" s="42"/>
      <c r="S297" s="42"/>
      <c r="T297" s="42"/>
      <c r="U297" s="42"/>
      <c r="V297" s="42"/>
      <c r="W297" s="42"/>
      <c r="X297" s="42"/>
      <c r="Y297" s="42"/>
      <c r="Z297" s="42"/>
      <c r="AA297" s="42"/>
      <c r="AB297" s="42"/>
      <c r="AC297" s="42"/>
      <c r="AD297" s="42"/>
      <c r="AE297" s="42"/>
      <c r="AF297" s="42">
        <v>11</v>
      </c>
    </row>
    <row r="298" ht="11.55" customHeight="1" spans="1:32">
      <c r="A298" s="967"/>
      <c r="B298" s="42"/>
      <c r="K298" s="42"/>
      <c r="N298" s="42"/>
      <c r="O298" s="42"/>
      <c r="P298" s="42"/>
      <c r="Q298" s="42"/>
      <c r="S298" s="42"/>
      <c r="T298" s="42"/>
      <c r="U298" s="42"/>
      <c r="V298" s="42"/>
      <c r="W298" s="42"/>
      <c r="X298" s="42"/>
      <c r="Y298" s="42"/>
      <c r="Z298" s="42"/>
      <c r="AA298" s="42"/>
      <c r="AB298" s="42"/>
      <c r="AC298" s="42"/>
      <c r="AD298" s="42"/>
      <c r="AE298" s="42"/>
      <c r="AF298" s="42">
        <v>11</v>
      </c>
    </row>
    <row r="299" ht="11.55" customHeight="1" spans="1:32">
      <c r="A299" s="967"/>
      <c r="B299" s="42"/>
      <c r="K299" s="42"/>
      <c r="N299" s="42"/>
      <c r="O299" s="42"/>
      <c r="P299" s="42"/>
      <c r="Q299" s="42"/>
      <c r="S299" s="42"/>
      <c r="T299" s="42"/>
      <c r="U299" s="42"/>
      <c r="V299" s="42"/>
      <c r="W299" s="42"/>
      <c r="X299" s="42"/>
      <c r="Y299" s="42"/>
      <c r="Z299" s="42"/>
      <c r="AA299" s="42"/>
      <c r="AB299" s="42"/>
      <c r="AC299" s="42"/>
      <c r="AD299" s="42"/>
      <c r="AE299" s="42"/>
      <c r="AF299" s="42">
        <v>11</v>
      </c>
    </row>
    <row r="300" ht="11.55" customHeight="1" spans="1:32">
      <c r="A300" s="967"/>
      <c r="B300" s="42"/>
      <c r="K300" s="42"/>
      <c r="N300" s="42"/>
      <c r="O300" s="42"/>
      <c r="P300" s="42"/>
      <c r="Q300" s="42"/>
      <c r="S300" s="42"/>
      <c r="T300" s="42"/>
      <c r="U300" s="42"/>
      <c r="V300" s="42"/>
      <c r="W300" s="42"/>
      <c r="X300" s="42"/>
      <c r="Y300" s="42"/>
      <c r="Z300" s="42"/>
      <c r="AA300" s="42"/>
      <c r="AB300" s="42"/>
      <c r="AC300" s="42"/>
      <c r="AD300" s="42"/>
      <c r="AE300" s="42"/>
      <c r="AF300" s="42">
        <v>11</v>
      </c>
    </row>
    <row r="301" ht="11.55" customHeight="1" spans="1:32">
      <c r="A301" s="967"/>
      <c r="B301" s="42"/>
      <c r="K301" s="42"/>
      <c r="N301" s="42"/>
      <c r="O301" s="42"/>
      <c r="P301" s="42"/>
      <c r="Q301" s="42"/>
      <c r="S301" s="42"/>
      <c r="T301" s="42"/>
      <c r="U301" s="42"/>
      <c r="V301" s="42"/>
      <c r="W301" s="42"/>
      <c r="X301" s="42"/>
      <c r="Y301" s="42"/>
      <c r="Z301" s="42"/>
      <c r="AA301" s="42"/>
      <c r="AB301" s="42"/>
      <c r="AC301" s="42"/>
      <c r="AD301" s="42"/>
      <c r="AE301" s="42"/>
      <c r="AF301" s="42">
        <v>11</v>
      </c>
    </row>
    <row r="302" ht="11.55" customHeight="1" spans="1:32">
      <c r="A302" s="967"/>
      <c r="B302" s="42"/>
      <c r="K302" s="42"/>
      <c r="N302" s="42"/>
      <c r="O302" s="42"/>
      <c r="P302" s="42"/>
      <c r="Q302" s="42"/>
      <c r="S302" s="42"/>
      <c r="T302" s="42"/>
      <c r="U302" s="42"/>
      <c r="V302" s="42"/>
      <c r="W302" s="42"/>
      <c r="X302" s="42"/>
      <c r="Y302" s="42"/>
      <c r="Z302" s="42"/>
      <c r="AA302" s="42"/>
      <c r="AB302" s="42"/>
      <c r="AC302" s="42"/>
      <c r="AD302" s="42"/>
      <c r="AE302" s="42"/>
      <c r="AF302" s="42">
        <v>11</v>
      </c>
    </row>
    <row r="303" hidden="1" customHeight="1" spans="1:32">
      <c r="A303" s="946" t="s">
        <v>83</v>
      </c>
      <c r="B303" s="37">
        <v>0</v>
      </c>
      <c r="C303" s="43">
        <v>0</v>
      </c>
      <c r="D303" s="42">
        <v>3</v>
      </c>
      <c r="E303" s="42">
        <v>7</v>
      </c>
      <c r="F303" s="42">
        <v>54</v>
      </c>
      <c r="G303" s="42">
        <v>10</v>
      </c>
      <c r="H303" s="42">
        <v>0</v>
      </c>
      <c r="I303" s="42">
        <v>40</v>
      </c>
      <c r="J303" s="42">
        <v>102</v>
      </c>
      <c r="K303" s="37">
        <v>9</v>
      </c>
      <c r="L303" s="43">
        <v>5</v>
      </c>
      <c r="M303" s="43">
        <v>3</v>
      </c>
      <c r="N303" s="37">
        <v>3</v>
      </c>
      <c r="O303" s="37">
        <v>3</v>
      </c>
      <c r="P303" s="37">
        <v>3</v>
      </c>
      <c r="Q303" s="37">
        <v>3</v>
      </c>
      <c r="R303" s="43">
        <v>10</v>
      </c>
      <c r="S303" s="37">
        <v>34</v>
      </c>
      <c r="T303" s="37">
        <v>9</v>
      </c>
      <c r="U303" s="947">
        <v>8</v>
      </c>
      <c r="V303" s="37">
        <v>8</v>
      </c>
      <c r="W303" s="37">
        <v>8</v>
      </c>
      <c r="X303" s="37">
        <v>8</v>
      </c>
      <c r="Y303" s="37">
        <v>8</v>
      </c>
      <c r="Z303" s="37">
        <v>8</v>
      </c>
      <c r="AA303" s="572">
        <v>8</v>
      </c>
      <c r="AB303" s="572">
        <v>8</v>
      </c>
      <c r="AC303" s="572">
        <v>8</v>
      </c>
      <c r="AD303" s="572">
        <v>8</v>
      </c>
      <c r="AE303" s="572">
        <v>8</v>
      </c>
      <c r="AF303" s="42">
        <v>11</v>
      </c>
    </row>
  </sheetData>
  <sheetProtection formatColumns="0" formatRows="0" insertRows="0" deleteColumns="0" deleteRows="0" sort="0" autoFilter="0"/>
  <mergeCells count="18">
    <mergeCell ref="E21:I21"/>
    <mergeCell ref="E22:I22"/>
    <mergeCell ref="F25:G25"/>
    <mergeCell ref="F26:G26"/>
    <mergeCell ref="F27:G27"/>
    <mergeCell ref="E28:G28"/>
    <mergeCell ref="A33:A40"/>
    <mergeCell ref="A41:A43"/>
    <mergeCell ref="A67:A68"/>
    <mergeCell ref="A82:A90"/>
    <mergeCell ref="A91:A95"/>
    <mergeCell ref="A96:A98"/>
    <mergeCell ref="A99:A111"/>
    <mergeCell ref="A115:A119"/>
    <mergeCell ref="A120:A130"/>
    <mergeCell ref="B2:B7"/>
    <mergeCell ref="B34:B39"/>
    <mergeCell ref="J25:J29"/>
  </mergeCells>
  <dataValidations count="12">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0 F12 H70:I70">
      <formula1>900</formula1>
    </dataValidation>
    <dataValidation type="decimal" operator="between" allowBlank="1" showErrorMessage="1" errorTitle="Ошибка" error="Допускается ввод только неотрицательных чисел!" sqref="H15:I15 H17:I17 H30:I30 H67:I67 H69:I69 H74:I74 H127:I127 H35:I38 H91:I94 H32:I33 H88:I89 H40:I65 H82:I86 H9:I13 H96:I119 H4:I6">
      <formula1>0</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H66:I66 H68:I6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81:I81 H128:I130">
      <formula1>900</formula1>
    </dataValidation>
    <dataValidation type="decimal" operator="between" allowBlank="1" showErrorMessage="1" errorTitle="Ошибка" error="Введите значение от 0 до 100%" sqref="H90:I90 H95:I95">
      <formula1>0</formula1>
      <formula2>100</formula2>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decimal" operator="between" allowBlank="1" showErrorMessage="1" errorTitle="Ошибка" error="Допускается ввод только действительных чисел!" sqref="H120:I120 H123:I123 H126:I126 H75:I80">
      <formula1>-9.99999999999999E+37</formula1>
      <formula2>9.99999999999999E+37</formula2>
    </dataValidation>
    <dataValidation type="decimal" operator="between" allowBlank="1" showErrorMessage="1" errorTitle="Ошибка" error="Допускается ввод только действительных чисел!" sqref="H72:I73">
      <formula1>-9.99999999999999E+23</formula1>
      <formula2>9.99999999999999E+23</formula2>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CF29"/>
  <sheetViews>
    <sheetView showGridLines="0" zoomScale="90" zoomScaleNormal="90" topLeftCell="C4" workbookViewId="0">
      <selection activeCell="A1" sqref="A1"/>
    </sheetView>
  </sheetViews>
  <sheetFormatPr defaultColWidth="9.14285714285714" defaultRowHeight="11.25" customHeight="1"/>
  <cols>
    <col min="1" max="1" width="14.7142857142857" style="830" hidden="1" customWidth="1"/>
    <col min="2" max="2" width="17" style="572" hidden="1" customWidth="1"/>
    <col min="3" max="3" width="3" style="42" customWidth="1"/>
    <col min="4" max="4" width="1.84761904761905" style="42" hidden="1" customWidth="1"/>
    <col min="5" max="6" width="7" style="42" customWidth="1"/>
    <col min="7" max="7" width="29" style="42" customWidth="1"/>
    <col min="8" max="8" width="3.71428571428571" style="42" customWidth="1"/>
    <col min="9" max="9" width="5" style="42" customWidth="1"/>
    <col min="10" max="11" width="24" style="42" customWidth="1"/>
    <col min="12" max="12" width="3" style="42" customWidth="1"/>
    <col min="13" max="13" width="6" style="42" customWidth="1"/>
    <col min="14" max="14" width="25" style="42" customWidth="1"/>
    <col min="15" max="18" width="18" style="42" customWidth="1"/>
    <col min="19" max="19" width="93" style="42" customWidth="1"/>
    <col min="20" max="20" width="10" style="42" customWidth="1"/>
    <col min="21" max="21" width="10" style="43" customWidth="1"/>
    <col min="22" max="22" width="11" style="43" customWidth="1"/>
    <col min="23" max="27" width="10" style="572" customWidth="1"/>
    <col min="28" max="83" width="8" style="42" customWidth="1"/>
    <col min="84" max="84" width="9.14285714285714" style="42" hidden="1"/>
  </cols>
  <sheetData>
    <row r="1" ht="22.5" hidden="1" customHeight="1" spans="84:84">
      <c r="CF1" s="42" t="s">
        <v>14</v>
      </c>
    </row>
    <row r="2" hidden="1" customHeight="1" spans="84:84">
      <c r="CF2" s="42">
        <v>0</v>
      </c>
    </row>
    <row r="3" hidden="1" customHeight="1" spans="84:84">
      <c r="CF3" s="42">
        <v>0</v>
      </c>
    </row>
    <row r="4" ht="3" customHeight="1" spans="11:84">
      <c r="K4" s="60"/>
      <c r="L4" s="60"/>
      <c r="M4" s="60"/>
      <c r="CF4" s="42">
        <v>3</v>
      </c>
    </row>
    <row r="5" ht="29.25" customHeight="1" spans="4:84">
      <c r="D5" s="776"/>
      <c r="E5" s="75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750"/>
      <c r="G5" s="750"/>
      <c r="H5" s="750"/>
      <c r="I5" s="750"/>
      <c r="J5" s="750"/>
      <c r="K5" s="750"/>
      <c r="L5" s="85"/>
      <c r="M5" s="85"/>
      <c r="CF5" s="42">
        <v>28</v>
      </c>
    </row>
    <row r="6" s="42" customFormat="1" ht="16.8" customHeight="1" spans="1:84">
      <c r="A6" s="830"/>
      <c r="B6" s="572"/>
      <c r="D6" s="985"/>
      <c r="E6" s="657" t="str">
        <f>IF(org=0,"Не определено",org)</f>
        <v>АО "ОЭЗ ППТ "Алабуга"</v>
      </c>
      <c r="F6" s="657"/>
      <c r="G6" s="657"/>
      <c r="H6" s="657"/>
      <c r="I6" s="657"/>
      <c r="J6" s="657"/>
      <c r="K6" s="657"/>
      <c r="L6" s="85"/>
      <c r="M6" s="85"/>
      <c r="U6" s="43"/>
      <c r="V6" s="43"/>
      <c r="W6" s="572"/>
      <c r="X6" s="572"/>
      <c r="Y6" s="572"/>
      <c r="Z6" s="572"/>
      <c r="AA6" s="572"/>
      <c r="CF6" s="42">
        <v>16</v>
      </c>
    </row>
    <row r="7" ht="11.55" customHeight="1" spans="7:84">
      <c r="G7" s="85"/>
      <c r="H7" s="85"/>
      <c r="I7" s="85"/>
      <c r="J7" s="85"/>
      <c r="K7" s="910"/>
      <c r="L7" s="910"/>
      <c r="M7" s="910"/>
      <c r="R7" s="574"/>
      <c r="CF7" s="42">
        <v>11</v>
      </c>
    </row>
    <row r="8" s="36" customFormat="1" ht="4.2" customHeight="1" spans="1:84">
      <c r="A8" s="986"/>
      <c r="B8" s="963"/>
      <c r="G8" s="987"/>
      <c r="H8" s="987"/>
      <c r="I8" s="987"/>
      <c r="J8" s="987"/>
      <c r="K8" s="995"/>
      <c r="L8" s="995"/>
      <c r="M8" s="995"/>
      <c r="R8" s="996"/>
      <c r="U8" s="43"/>
      <c r="V8" s="43"/>
      <c r="W8" s="963"/>
      <c r="X8" s="963"/>
      <c r="Y8" s="963"/>
      <c r="Z8" s="963"/>
      <c r="AA8" s="963"/>
      <c r="CF8" s="36">
        <v>4</v>
      </c>
    </row>
    <row r="9" ht="19.95" customHeight="1" spans="4:84">
      <c r="D9" s="82"/>
      <c r="E9" s="125" t="s">
        <v>305</v>
      </c>
      <c r="F9" s="127"/>
      <c r="G9" s="127"/>
      <c r="H9" s="127"/>
      <c r="I9" s="127"/>
      <c r="J9" s="127"/>
      <c r="K9" s="127"/>
      <c r="L9" s="127"/>
      <c r="M9" s="127"/>
      <c r="N9" s="127"/>
      <c r="O9" s="127"/>
      <c r="P9" s="127"/>
      <c r="Q9" s="127"/>
      <c r="R9" s="126"/>
      <c r="S9" s="63" t="s">
        <v>306</v>
      </c>
      <c r="T9" s="801"/>
      <c r="CF9" s="42">
        <v>19</v>
      </c>
    </row>
    <row r="10" ht="48.3" customHeight="1" spans="4:84">
      <c r="D10" s="672" t="s">
        <v>89</v>
      </c>
      <c r="E10" s="63" t="s">
        <v>89</v>
      </c>
      <c r="F10" s="63"/>
      <c r="G10" s="63" t="s">
        <v>307</v>
      </c>
      <c r="H10" s="63" t="s">
        <v>89</v>
      </c>
      <c r="I10" s="63"/>
      <c r="J10" s="63" t="s">
        <v>612</v>
      </c>
      <c r="K10" s="63" t="s">
        <v>613</v>
      </c>
      <c r="L10" s="63" t="s">
        <v>89</v>
      </c>
      <c r="M10" s="63"/>
      <c r="N10" s="63" t="s">
        <v>614</v>
      </c>
      <c r="O10" s="63" t="s">
        <v>615</v>
      </c>
      <c r="P10" s="63" t="s">
        <v>616</v>
      </c>
      <c r="Q10" s="63" t="s">
        <v>617</v>
      </c>
      <c r="R10" s="63" t="s">
        <v>618</v>
      </c>
      <c r="S10" s="63"/>
      <c r="T10" s="801"/>
      <c r="CF10" s="42">
        <v>46</v>
      </c>
    </row>
    <row r="11" s="43" customFormat="1" ht="15" hidden="1" customHeight="1" spans="1:84">
      <c r="A11" s="306"/>
      <c r="D11" s="306" t="s">
        <v>111</v>
      </c>
      <c r="E11" s="306"/>
      <c r="F11" s="306" t="s">
        <v>112</v>
      </c>
      <c r="G11" s="306" t="s">
        <v>91</v>
      </c>
      <c r="H11" s="306"/>
      <c r="I11" s="306" t="s">
        <v>92</v>
      </c>
      <c r="J11" s="306" t="s">
        <v>113</v>
      </c>
      <c r="K11" s="306" t="s">
        <v>93</v>
      </c>
      <c r="L11" s="306"/>
      <c r="M11" s="306" t="s">
        <v>94</v>
      </c>
      <c r="N11" s="306" t="s">
        <v>114</v>
      </c>
      <c r="O11" s="306" t="s">
        <v>150</v>
      </c>
      <c r="P11" s="306" t="s">
        <v>151</v>
      </c>
      <c r="Q11" s="306" t="s">
        <v>152</v>
      </c>
      <c r="R11" s="306" t="s">
        <v>153</v>
      </c>
      <c r="S11" s="306" t="s">
        <v>154</v>
      </c>
      <c r="CF11" s="43">
        <v>0</v>
      </c>
    </row>
    <row r="12" s="42" customFormat="1" ht="1.05" customHeight="1" spans="1:84">
      <c r="A12" s="830"/>
      <c r="B12" s="572"/>
      <c r="D12" s="306"/>
      <c r="E12" s="519"/>
      <c r="F12" s="519"/>
      <c r="Q12" s="591"/>
      <c r="R12" s="997"/>
      <c r="T12" s="801"/>
      <c r="U12" s="43"/>
      <c r="V12" s="43"/>
      <c r="W12" s="572"/>
      <c r="X12" s="572"/>
      <c r="Y12" s="572"/>
      <c r="Z12" s="572"/>
      <c r="AA12" s="572"/>
      <c r="CF12" s="42">
        <v>1</v>
      </c>
    </row>
    <row r="13" s="36" customFormat="1" ht="1.05" customHeight="1" spans="1:84">
      <c r="A13" s="986"/>
      <c r="B13" s="963"/>
      <c r="D13" s="306" t="s">
        <v>381</v>
      </c>
      <c r="E13" s="988"/>
      <c r="F13" s="988"/>
      <c r="G13" s="988"/>
      <c r="H13" s="988"/>
      <c r="I13" s="988"/>
      <c r="J13" s="988"/>
      <c r="K13" s="988"/>
      <c r="L13" s="988"/>
      <c r="M13" s="988"/>
      <c r="N13" s="988"/>
      <c r="O13" s="988"/>
      <c r="P13" s="988"/>
      <c r="Q13" s="988"/>
      <c r="R13" s="988"/>
      <c r="T13" s="801"/>
      <c r="U13" s="43"/>
      <c r="V13" s="43"/>
      <c r="W13" s="963"/>
      <c r="X13" s="963"/>
      <c r="Y13" s="963"/>
      <c r="Z13" s="963"/>
      <c r="AA13" s="963"/>
      <c r="CF13" s="36">
        <v>1</v>
      </c>
    </row>
    <row r="14" customFormat="1" ht="15" hidden="1" customHeight="1" spans="1:84">
      <c r="A14" s="4" t="s">
        <v>119</v>
      </c>
      <c r="D14" s="989" t="s">
        <v>111</v>
      </c>
      <c r="E14" s="323" t="s">
        <v>107</v>
      </c>
      <c r="F14" s="324"/>
      <c r="G14" s="325"/>
      <c r="H14" s="326">
        <f>IF(A14="","",INDEX(DIFFERENTIATION_UNMERGE_VD,MATCH(A14,DIFFERENTIATION_ID_DIFF,0)))</f>
        <v>0</v>
      </c>
      <c r="I14" s="326"/>
      <c r="J14" s="326"/>
      <c r="K14" s="326"/>
      <c r="L14" s="326"/>
      <c r="M14" s="326"/>
      <c r="N14" s="326"/>
      <c r="O14" s="326"/>
      <c r="P14" s="326"/>
      <c r="Q14" s="326"/>
      <c r="R14" s="326"/>
      <c r="S14" s="388"/>
      <c r="T14" s="389"/>
      <c r="U14" s="151"/>
      <c r="V14" s="151"/>
      <c r="W14" s="263"/>
      <c r="X14" s="263"/>
      <c r="Y14" s="263"/>
      <c r="Z14" s="263"/>
      <c r="AA14" s="151"/>
      <c r="AB14" s="263"/>
      <c r="AC14" s="424"/>
      <c r="AD14" s="263"/>
      <c r="AE14" s="425" t="s">
        <v>28</v>
      </c>
      <c r="AF14" s="425"/>
      <c r="AG14" s="430" t="s">
        <v>619</v>
      </c>
      <c r="AH14" s="431">
        <v>3</v>
      </c>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263"/>
      <c r="BW14" s="263"/>
      <c r="BX14" s="263"/>
      <c r="BY14" s="263"/>
      <c r="BZ14" s="263"/>
      <c r="CA14" s="263"/>
      <c r="CB14" s="263"/>
      <c r="CC14" s="263"/>
      <c r="CD14" s="263"/>
      <c r="CE14" s="263"/>
      <c r="CF14">
        <v>0</v>
      </c>
    </row>
    <row r="15" customFormat="1" ht="15" hidden="1" customHeight="1" spans="1:84">
      <c r="A15" s="4"/>
      <c r="D15" s="990"/>
      <c r="E15" s="323" t="s">
        <v>574</v>
      </c>
      <c r="F15" s="324"/>
      <c r="G15" s="325"/>
      <c r="H15" s="326" t="str">
        <f>IF(A14="","",INDEX(DIFFERENTIATION_UNMERGE_AREA,MATCH(A14,DIFFERENTIATION_ID_DIFF,0)))</f>
        <v/>
      </c>
      <c r="I15" s="326"/>
      <c r="J15" s="326"/>
      <c r="K15" s="326"/>
      <c r="L15" s="326"/>
      <c r="M15" s="326"/>
      <c r="N15" s="326"/>
      <c r="O15" s="326"/>
      <c r="P15" s="326"/>
      <c r="Q15" s="326"/>
      <c r="R15" s="326"/>
      <c r="S15" s="388"/>
      <c r="T15" s="389"/>
      <c r="U15" s="151"/>
      <c r="V15" s="151"/>
      <c r="W15" s="263"/>
      <c r="X15" s="263"/>
      <c r="Y15" s="263"/>
      <c r="Z15" s="263"/>
      <c r="AA15" s="151"/>
      <c r="AB15" s="263"/>
      <c r="AC15" s="424"/>
      <c r="AD15" s="263"/>
      <c r="AE15" s="425"/>
      <c r="AF15" s="425"/>
      <c r="AG15" s="430"/>
      <c r="AH15" s="43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263"/>
      <c r="BW15" s="263"/>
      <c r="BX15" s="263"/>
      <c r="BY15" s="263"/>
      <c r="BZ15" s="263"/>
      <c r="CA15" s="263"/>
      <c r="CB15" s="263"/>
      <c r="CC15" s="263"/>
      <c r="CD15" s="263"/>
      <c r="CE15" s="263"/>
      <c r="CF15">
        <v>0</v>
      </c>
    </row>
    <row r="16" customFormat="1" ht="15" hidden="1" customHeight="1" spans="1:84">
      <c r="A16" s="4"/>
      <c r="D16" s="990"/>
      <c r="E16" s="323" t="s">
        <v>575</v>
      </c>
      <c r="F16" s="324"/>
      <c r="G16" s="325"/>
      <c r="H16" s="326" t="str">
        <f>IF(A14="","",INDEX(DIFFERENTIATION_UNMERGE_SYSTEM,MATCH(A14,DIFFERENTIATION_ID_DIFF,0)))</f>
        <v>без дифференциации</v>
      </c>
      <c r="I16" s="326"/>
      <c r="J16" s="326"/>
      <c r="K16" s="326"/>
      <c r="L16" s="326"/>
      <c r="M16" s="326"/>
      <c r="N16" s="326"/>
      <c r="O16" s="326"/>
      <c r="P16" s="326"/>
      <c r="Q16" s="326"/>
      <c r="R16" s="326"/>
      <c r="S16" s="388"/>
      <c r="T16" s="389"/>
      <c r="U16" s="151"/>
      <c r="V16" s="151"/>
      <c r="W16" s="263"/>
      <c r="X16" s="263"/>
      <c r="Y16" s="263"/>
      <c r="Z16" s="263"/>
      <c r="AA16" s="151"/>
      <c r="AB16" s="263"/>
      <c r="AC16" s="424"/>
      <c r="AD16" s="263"/>
      <c r="AE16" s="425"/>
      <c r="AF16" s="425"/>
      <c r="AG16" s="430"/>
      <c r="AH16" s="43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263"/>
      <c r="BW16" s="263"/>
      <c r="BX16" s="263"/>
      <c r="BY16" s="263"/>
      <c r="BZ16" s="263"/>
      <c r="CA16" s="263"/>
      <c r="CB16" s="263"/>
      <c r="CC16" s="263"/>
      <c r="CD16" s="263"/>
      <c r="CE16" s="263"/>
      <c r="CF16">
        <v>0</v>
      </c>
    </row>
    <row r="17" customFormat="1" ht="22.5" hidden="1" customHeight="1" spans="1:84">
      <c r="A17" s="47"/>
      <c r="B17" s="37"/>
      <c r="C17" s="223"/>
      <c r="D17" s="990"/>
      <c r="E17" s="328" t="s">
        <v>620</v>
      </c>
      <c r="F17" s="328"/>
      <c r="G17" s="328"/>
      <c r="H17" s="328"/>
      <c r="I17" s="328"/>
      <c r="J17" s="328"/>
      <c r="K17" s="328"/>
      <c r="L17" s="328"/>
      <c r="M17" s="328"/>
      <c r="N17" s="328"/>
      <c r="O17" s="328"/>
      <c r="P17" s="328"/>
      <c r="Q17" s="390">
        <f>SUMIF(T18:T19,"i",Q18:Q19)</f>
        <v>0</v>
      </c>
      <c r="R17" s="391"/>
      <c r="S17" s="392" t="s">
        <v>621</v>
      </c>
      <c r="T17" s="389" t="s">
        <v>622</v>
      </c>
      <c r="U17" s="92">
        <v>1</v>
      </c>
      <c r="V17" s="92" t="str">
        <f>INDEX(B_FHD_FLAG_INDEX_1,1,MATCH(A14,B_FHD_FLAG_DIFFERENTIATION,0))</f>
        <v>отсутствует</v>
      </c>
      <c r="W17" s="37"/>
      <c r="X17" s="37"/>
      <c r="Y17" s="37"/>
      <c r="Z17" s="37"/>
      <c r="AA17" s="43"/>
      <c r="AB17" s="37"/>
      <c r="AC17" s="424"/>
      <c r="AD17" s="263"/>
      <c r="AE17" s="37"/>
      <c r="AF17" s="37"/>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37"/>
      <c r="BW17" s="37"/>
      <c r="BX17" s="37"/>
      <c r="BY17" s="37"/>
      <c r="BZ17" s="37"/>
      <c r="CA17" s="37"/>
      <c r="CB17" s="37"/>
      <c r="CC17" s="37"/>
      <c r="CD17" s="37"/>
      <c r="CE17" s="37"/>
      <c r="CF17">
        <v>0</v>
      </c>
    </row>
    <row r="18" customFormat="1" hidden="1" customHeight="1" spans="1:84">
      <c r="A18" s="92"/>
      <c r="B18" s="43"/>
      <c r="C18" s="43"/>
      <c r="D18" s="990"/>
      <c r="E18" s="329"/>
      <c r="F18" s="329">
        <v>0</v>
      </c>
      <c r="G18" s="329"/>
      <c r="H18" s="329"/>
      <c r="I18" s="329"/>
      <c r="J18" s="329"/>
      <c r="K18" s="329"/>
      <c r="L18" s="329"/>
      <c r="M18" s="329"/>
      <c r="N18" s="329"/>
      <c r="O18" s="329"/>
      <c r="P18" s="329"/>
      <c r="Q18" s="329"/>
      <c r="R18" s="329"/>
      <c r="S18" s="393"/>
      <c r="T18" s="394"/>
      <c r="U18" s="92"/>
      <c r="V18" s="92"/>
      <c r="W18" s="43"/>
      <c r="X18" s="43"/>
      <c r="Y18" s="43"/>
      <c r="Z18" s="43"/>
      <c r="AA18" s="43"/>
      <c r="AB18" s="37"/>
      <c r="AC18" s="424"/>
      <c r="AD18" s="263"/>
      <c r="AE18" s="37"/>
      <c r="AF18" s="37"/>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v>0</v>
      </c>
    </row>
    <row r="19" customFormat="1" hidden="1" customHeight="1" spans="1:84">
      <c r="A19" s="47"/>
      <c r="B19" s="37"/>
      <c r="C19" s="223"/>
      <c r="D19" s="990"/>
      <c r="E19" s="330" t="s">
        <v>28</v>
      </c>
      <c r="F19" s="226" t="s">
        <v>28</v>
      </c>
      <c r="G19" s="226" t="s">
        <v>28</v>
      </c>
      <c r="H19" s="331" t="s">
        <v>28</v>
      </c>
      <c r="I19" s="331"/>
      <c r="J19" s="331"/>
      <c r="K19" s="331"/>
      <c r="L19" s="331"/>
      <c r="M19" s="331"/>
      <c r="N19" s="331"/>
      <c r="O19" s="331"/>
      <c r="P19" s="331"/>
      <c r="Q19" s="331"/>
      <c r="R19" s="274"/>
      <c r="S19" s="328"/>
      <c r="T19" s="394"/>
      <c r="U19" s="92"/>
      <c r="V19" s="92"/>
      <c r="W19" s="37"/>
      <c r="X19" s="37"/>
      <c r="Y19" s="37"/>
      <c r="Z19" s="37"/>
      <c r="AA19" s="43"/>
      <c r="AB19" s="37"/>
      <c r="AC19" s="424"/>
      <c r="AD19" s="263"/>
      <c r="AE19" s="37"/>
      <c r="AF19" s="37"/>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37"/>
      <c r="BW19" s="37"/>
      <c r="BX19" s="37"/>
      <c r="BY19" s="37"/>
      <c r="BZ19" s="37"/>
      <c r="CA19" s="37"/>
      <c r="CB19" s="37"/>
      <c r="CC19" s="37"/>
      <c r="CD19" s="37"/>
      <c r="CE19" s="37"/>
      <c r="CF19">
        <v>0</v>
      </c>
    </row>
    <row r="20" customFormat="1" ht="22.5" hidden="1" customHeight="1" spans="1:84">
      <c r="A20" s="47"/>
      <c r="B20" s="37"/>
      <c r="C20" s="223"/>
      <c r="D20" s="990"/>
      <c r="E20" s="328" t="s">
        <v>623</v>
      </c>
      <c r="F20" s="328"/>
      <c r="G20" s="328"/>
      <c r="H20" s="328"/>
      <c r="I20" s="328"/>
      <c r="J20" s="328"/>
      <c r="K20" s="328"/>
      <c r="L20" s="328"/>
      <c r="M20" s="328"/>
      <c r="N20" s="328"/>
      <c r="O20" s="328"/>
      <c r="P20" s="328"/>
      <c r="Q20" s="390">
        <f>SUMIF(T21:T22,"i",Q21:Q22)</f>
        <v>0</v>
      </c>
      <c r="R20" s="391"/>
      <c r="S20" s="392" t="s">
        <v>624</v>
      </c>
      <c r="T20" s="389" t="s">
        <v>622</v>
      </c>
      <c r="U20" s="92">
        <v>2</v>
      </c>
      <c r="V20" s="92" t="str">
        <f>INDEX(B_FHD_FLAG_INDEX_2,1,MATCH(A14,B_FHD_FLAG_DIFFERENTIATION,0))</f>
        <v>отсутствует</v>
      </c>
      <c r="W20" s="37"/>
      <c r="X20" s="37"/>
      <c r="Y20" s="37"/>
      <c r="Z20" s="37"/>
      <c r="AA20" s="43"/>
      <c r="AB20" s="37"/>
      <c r="AC20" s="424"/>
      <c r="AD20" s="263"/>
      <c r="AE20" s="37"/>
      <c r="AF20" s="37"/>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37"/>
      <c r="BW20" s="37"/>
      <c r="BX20" s="37"/>
      <c r="BY20" s="37"/>
      <c r="BZ20" s="37"/>
      <c r="CA20" s="37"/>
      <c r="CB20" s="37"/>
      <c r="CC20" s="37"/>
      <c r="CD20" s="37"/>
      <c r="CE20" s="37"/>
      <c r="CF20">
        <v>0</v>
      </c>
    </row>
    <row r="21" customFormat="1" hidden="1" customHeight="1" spans="1:84">
      <c r="A21" s="92"/>
      <c r="B21" s="43"/>
      <c r="C21" s="43"/>
      <c r="D21" s="990"/>
      <c r="E21" s="329"/>
      <c r="F21" s="329">
        <v>0</v>
      </c>
      <c r="G21" s="329"/>
      <c r="H21" s="329"/>
      <c r="I21" s="329"/>
      <c r="J21" s="329"/>
      <c r="K21" s="329"/>
      <c r="L21" s="329"/>
      <c r="M21" s="329"/>
      <c r="N21" s="329"/>
      <c r="O21" s="329"/>
      <c r="P21" s="329"/>
      <c r="Q21" s="329"/>
      <c r="R21" s="329"/>
      <c r="S21" s="393"/>
      <c r="T21" s="394"/>
      <c r="U21" s="92"/>
      <c r="V21" s="92"/>
      <c r="W21" s="43"/>
      <c r="X21" s="43"/>
      <c r="Y21" s="43"/>
      <c r="Z21" s="43"/>
      <c r="AA21" s="43"/>
      <c r="AB21" s="37"/>
      <c r="AC21" s="424"/>
      <c r="AD21" s="263"/>
      <c r="AE21" s="37"/>
      <c r="AF21" s="37"/>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v>0</v>
      </c>
    </row>
    <row r="22" customFormat="1" hidden="1" customHeight="1" spans="1:84">
      <c r="A22" s="47"/>
      <c r="B22" s="37"/>
      <c r="C22" s="223"/>
      <c r="D22" s="991"/>
      <c r="E22" s="330" t="s">
        <v>28</v>
      </c>
      <c r="F22" s="226" t="s">
        <v>28</v>
      </c>
      <c r="G22" s="226" t="s">
        <v>28</v>
      </c>
      <c r="H22" s="331" t="s">
        <v>28</v>
      </c>
      <c r="I22" s="331"/>
      <c r="J22" s="331"/>
      <c r="K22" s="331"/>
      <c r="L22" s="331"/>
      <c r="M22" s="331"/>
      <c r="N22" s="331"/>
      <c r="O22" s="331"/>
      <c r="P22" s="331"/>
      <c r="Q22" s="331"/>
      <c r="R22" s="274"/>
      <c r="S22" s="328"/>
      <c r="T22" s="394"/>
      <c r="U22" s="92"/>
      <c r="V22" s="92"/>
      <c r="W22" s="37"/>
      <c r="X22" s="37"/>
      <c r="Y22" s="37"/>
      <c r="Z22" s="37"/>
      <c r="AA22" s="43"/>
      <c r="AB22" s="37"/>
      <c r="AC22" s="424"/>
      <c r="AD22" s="263"/>
      <c r="AE22" s="37"/>
      <c r="AF22" s="37"/>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37"/>
      <c r="BW22" s="37"/>
      <c r="BX22" s="37"/>
      <c r="BY22" s="37"/>
      <c r="BZ22" s="37"/>
      <c r="CA22" s="37"/>
      <c r="CB22" s="37"/>
      <c r="CC22" s="37"/>
      <c r="CD22" s="37"/>
      <c r="CE22" s="37"/>
      <c r="CF22">
        <v>0</v>
      </c>
    </row>
    <row r="23" ht="19.95" customHeight="1" spans="4:84">
      <c r="D23" s="992"/>
      <c r="E23" s="992"/>
      <c r="F23" s="992"/>
      <c r="G23" s="992"/>
      <c r="H23" s="992"/>
      <c r="I23" s="992"/>
      <c r="J23" s="992"/>
      <c r="K23" s="992"/>
      <c r="L23" s="992"/>
      <c r="M23" s="992"/>
      <c r="N23" s="992"/>
      <c r="O23" s="992"/>
      <c r="P23" s="992"/>
      <c r="Q23" s="992"/>
      <c r="R23" s="992"/>
      <c r="S23" s="992"/>
      <c r="T23" s="801"/>
      <c r="CF23" s="42">
        <v>19</v>
      </c>
    </row>
    <row r="24" ht="11.55" customHeight="1" spans="84:84">
      <c r="CF24" s="42">
        <v>11</v>
      </c>
    </row>
    <row r="25" ht="11.55" customHeight="1" spans="4:84">
      <c r="D25" s="60"/>
      <c r="E25" s="60"/>
      <c r="F25" s="60"/>
      <c r="G25" s="35"/>
      <c r="CF25" s="42">
        <v>11</v>
      </c>
    </row>
    <row r="26" ht="11.55" customHeight="1" spans="84:84">
      <c r="CF26" s="42">
        <v>11</v>
      </c>
    </row>
    <row r="27" ht="11.55" customHeight="1" spans="4:84">
      <c r="D27" s="993"/>
      <c r="E27" s="994"/>
      <c r="F27" s="994"/>
      <c r="G27" s="994"/>
      <c r="H27" s="994"/>
      <c r="I27" s="994"/>
      <c r="J27" s="994"/>
      <c r="K27" s="994"/>
      <c r="L27" s="994"/>
      <c r="M27" s="994"/>
      <c r="N27" s="994"/>
      <c r="O27" s="994"/>
      <c r="P27" s="994"/>
      <c r="Q27" s="994"/>
      <c r="R27" s="994"/>
      <c r="CF27" s="42">
        <v>11</v>
      </c>
    </row>
    <row r="28" ht="11.55" customHeight="1" spans="84:84">
      <c r="CF28" s="42">
        <v>11</v>
      </c>
    </row>
    <row r="29" hidden="1" customHeight="1" spans="1:84">
      <c r="A29" s="830" t="s">
        <v>83</v>
      </c>
      <c r="B29" s="572">
        <v>0</v>
      </c>
      <c r="C29" s="42">
        <v>3</v>
      </c>
      <c r="D29" s="42">
        <v>0</v>
      </c>
      <c r="E29" s="42">
        <v>7</v>
      </c>
      <c r="F29" s="42">
        <v>7</v>
      </c>
      <c r="G29" s="42">
        <v>29</v>
      </c>
      <c r="H29" s="42">
        <v>3</v>
      </c>
      <c r="I29" s="42">
        <v>5</v>
      </c>
      <c r="J29" s="42">
        <v>24</v>
      </c>
      <c r="K29" s="42">
        <v>24</v>
      </c>
      <c r="L29" s="42">
        <v>3</v>
      </c>
      <c r="M29" s="42">
        <v>6</v>
      </c>
      <c r="N29" s="42">
        <v>25</v>
      </c>
      <c r="O29" s="42">
        <v>18</v>
      </c>
      <c r="P29" s="42">
        <v>18</v>
      </c>
      <c r="Q29" s="42">
        <v>18</v>
      </c>
      <c r="R29" s="42">
        <v>18</v>
      </c>
      <c r="S29" s="42">
        <v>93</v>
      </c>
      <c r="T29" s="42">
        <v>10</v>
      </c>
      <c r="U29" s="43">
        <v>10</v>
      </c>
      <c r="V29" s="43">
        <v>11</v>
      </c>
      <c r="W29" s="572">
        <v>10</v>
      </c>
      <c r="X29" s="572">
        <v>10</v>
      </c>
      <c r="Y29" s="572">
        <v>10</v>
      </c>
      <c r="Z29" s="572">
        <v>10</v>
      </c>
      <c r="AA29" s="572">
        <v>10</v>
      </c>
      <c r="AB29" s="42">
        <v>8</v>
      </c>
      <c r="AC29" s="42">
        <v>8</v>
      </c>
      <c r="AD29" s="42">
        <v>8</v>
      </c>
      <c r="AE29" s="42">
        <v>8</v>
      </c>
      <c r="AF29" s="42">
        <v>8</v>
      </c>
      <c r="AG29" s="42">
        <v>8</v>
      </c>
      <c r="AH29" s="42">
        <v>8</v>
      </c>
      <c r="AI29" s="42">
        <v>8</v>
      </c>
      <c r="AJ29" s="42">
        <v>8</v>
      </c>
      <c r="AK29" s="42">
        <v>8</v>
      </c>
      <c r="AL29" s="42">
        <v>8</v>
      </c>
      <c r="AM29" s="42">
        <v>8</v>
      </c>
      <c r="AN29" s="42">
        <v>8</v>
      </c>
      <c r="AO29" s="42">
        <v>8</v>
      </c>
      <c r="AP29" s="42">
        <v>8</v>
      </c>
      <c r="AQ29" s="42">
        <v>8</v>
      </c>
      <c r="AR29" s="42">
        <v>8</v>
      </c>
      <c r="AS29" s="42">
        <v>8</v>
      </c>
      <c r="AT29" s="42">
        <v>8</v>
      </c>
      <c r="AU29" s="42">
        <v>8</v>
      </c>
      <c r="AV29" s="42">
        <v>8</v>
      </c>
      <c r="AW29" s="42">
        <v>8</v>
      </c>
      <c r="AX29" s="42">
        <v>8</v>
      </c>
      <c r="AY29" s="42">
        <v>8</v>
      </c>
      <c r="AZ29" s="42">
        <v>8</v>
      </c>
      <c r="BA29" s="42">
        <v>8</v>
      </c>
      <c r="BB29" s="42">
        <v>8</v>
      </c>
      <c r="BC29" s="42">
        <v>8</v>
      </c>
      <c r="BD29" s="42">
        <v>8</v>
      </c>
      <c r="BE29" s="42">
        <v>8</v>
      </c>
      <c r="BF29" s="42">
        <v>8</v>
      </c>
      <c r="BG29" s="42">
        <v>8</v>
      </c>
      <c r="BH29" s="42">
        <v>8</v>
      </c>
      <c r="BI29" s="42">
        <v>8</v>
      </c>
      <c r="BJ29" s="42">
        <v>8</v>
      </c>
      <c r="BK29" s="42">
        <v>8</v>
      </c>
      <c r="BL29" s="42">
        <v>8</v>
      </c>
      <c r="BM29" s="42">
        <v>8</v>
      </c>
      <c r="BN29" s="42">
        <v>8</v>
      </c>
      <c r="BO29" s="42">
        <v>8</v>
      </c>
      <c r="BP29" s="42">
        <v>8</v>
      </c>
      <c r="BQ29" s="42">
        <v>8</v>
      </c>
      <c r="BR29" s="42">
        <v>8</v>
      </c>
      <c r="BS29" s="42">
        <v>8</v>
      </c>
      <c r="BT29" s="42">
        <v>8</v>
      </c>
      <c r="BU29" s="42">
        <v>8</v>
      </c>
      <c r="BV29" s="42">
        <v>8</v>
      </c>
      <c r="BW29" s="42">
        <v>8</v>
      </c>
      <c r="BX29" s="42">
        <v>8</v>
      </c>
      <c r="BY29" s="42">
        <v>8</v>
      </c>
      <c r="BZ29" s="42">
        <v>8</v>
      </c>
      <c r="CA29" s="42">
        <v>8</v>
      </c>
      <c r="CB29" s="42">
        <v>8</v>
      </c>
      <c r="CC29" s="42">
        <v>8</v>
      </c>
      <c r="CD29" s="42">
        <v>8</v>
      </c>
      <c r="CE29" s="42">
        <v>8</v>
      </c>
      <c r="CF29" s="42">
        <v>11</v>
      </c>
    </row>
  </sheetData>
  <sheetProtection formatColumns="0" formatRows="0" insertRows="0" deleteColumns="0" deleteRows="0" sort="0" autoFilter="0"/>
  <mergeCells count="22">
    <mergeCell ref="E5:K5"/>
    <mergeCell ref="E6:K6"/>
    <mergeCell ref="E9:R9"/>
    <mergeCell ref="E10:F10"/>
    <mergeCell ref="H10:I10"/>
    <mergeCell ref="L10:M10"/>
    <mergeCell ref="E14:G14"/>
    <mergeCell ref="H14:R14"/>
    <mergeCell ref="E15:G15"/>
    <mergeCell ref="H15:R15"/>
    <mergeCell ref="E16:G16"/>
    <mergeCell ref="H16:R16"/>
    <mergeCell ref="E17:P17"/>
    <mergeCell ref="E20:P20"/>
    <mergeCell ref="E27:R27"/>
    <mergeCell ref="D14:D22"/>
    <mergeCell ref="S9:S10"/>
    <mergeCell ref="U17:U19"/>
    <mergeCell ref="U20:U22"/>
    <mergeCell ref="V17:V19"/>
    <mergeCell ref="V20:V22"/>
    <mergeCell ref="AC14:AC19"/>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K204"/>
  <sheetViews>
    <sheetView showGridLines="0" zoomScale="90" zoomScaleNormal="90" workbookViewId="0">
      <pane xSplit="12" ySplit="14" topLeftCell="M15" activePane="bottomRight" state="frozen"/>
      <selection/>
      <selection pane="topRight"/>
      <selection pane="bottomLeft"/>
      <selection pane="bottomRight" activeCell="A1" sqref="A1"/>
    </sheetView>
  </sheetViews>
  <sheetFormatPr defaultColWidth="9.14285714285714" defaultRowHeight="11.25" customHeight="1"/>
  <cols>
    <col min="1" max="5" width="10.7142857142857" style="946" hidden="1" customWidth="1"/>
    <col min="6" max="6" width="16.847619047619" style="37" hidden="1" customWidth="1"/>
    <col min="7" max="7" width="5.57142857142857" style="43" hidden="1" customWidth="1"/>
    <col min="8" max="8" width="3" style="42" customWidth="1"/>
    <col min="9" max="9" width="7" style="42" customWidth="1"/>
    <col min="10" max="10" width="56" style="42" customWidth="1"/>
    <col min="11" max="11" width="10" style="42" customWidth="1"/>
    <col min="12" max="12" width="40.5714285714286" style="42" hidden="1" customWidth="1"/>
    <col min="13" max="13" width="40.7142857142857" style="42" customWidth="1"/>
    <col min="14" max="14" width="9.71428571428571" style="37" hidden="1" customWidth="1"/>
    <col min="15" max="15" width="102" style="42" customWidth="1"/>
    <col min="16" max="16" width="9" style="37" customWidth="1"/>
    <col min="17" max="17" width="5" style="43" customWidth="1"/>
    <col min="18" max="18" width="3" style="43" customWidth="1"/>
    <col min="19" max="22" width="3" style="37" customWidth="1"/>
    <col min="23" max="23" width="10" style="43" customWidth="1"/>
    <col min="24" max="24" width="34" style="37" customWidth="1"/>
    <col min="25" max="25" width="9" style="37" customWidth="1"/>
    <col min="26" max="26" width="8" style="947" customWidth="1"/>
    <col min="27" max="31" width="8" style="37" customWidth="1"/>
    <col min="32" max="36" width="8" style="572" customWidth="1"/>
    <col min="37" max="37" width="5.41904761904762" style="42" hidden="1" customWidth="1"/>
  </cols>
  <sheetData>
    <row r="1" s="37" customFormat="1" ht="33.75" hidden="1" customHeight="1" spans="1:37">
      <c r="A1" s="946"/>
      <c r="B1" s="946"/>
      <c r="C1" s="946"/>
      <c r="D1" s="946"/>
      <c r="E1" s="946"/>
      <c r="G1" s="43"/>
      <c r="L1" s="37">
        <v>4</v>
      </c>
      <c r="M1" s="37">
        <v>4</v>
      </c>
      <c r="Q1" s="43"/>
      <c r="R1" s="43"/>
      <c r="W1" s="43"/>
      <c r="AK1" s="37" t="s">
        <v>14</v>
      </c>
    </row>
    <row r="2" s="37" customFormat="1" ht="78.75" hidden="1" customHeight="1" spans="1:37">
      <c r="A2" s="946"/>
      <c r="B2" s="973" t="s">
        <v>625</v>
      </c>
      <c r="C2" s="973" t="s">
        <v>626</v>
      </c>
      <c r="D2" s="974" t="s">
        <v>627</v>
      </c>
      <c r="E2" s="975" t="e">
        <f>RIGHT(I2,LEN(I2)-SEARCH("#",SUBSTITUTE(I2,".","#",LEN(I2)-LEN(SUBSTITUTE(I2,".","")))))</f>
        <v>#VALUE!</v>
      </c>
      <c r="F2" s="975">
        <f>J2</f>
        <v>0</v>
      </c>
      <c r="G2" s="43"/>
      <c r="H2" s="758"/>
      <c r="I2" s="231"/>
      <c r="J2" s="218"/>
      <c r="K2" s="126" t="s">
        <v>566</v>
      </c>
      <c r="L2" s="101"/>
      <c r="M2" s="101"/>
      <c r="N2" s="965"/>
      <c r="O2" s="82" t="s">
        <v>567</v>
      </c>
      <c r="P2" s="965"/>
      <c r="Q2" s="43"/>
      <c r="R2" s="43"/>
      <c r="W2" s="43"/>
      <c r="Z2" s="947"/>
      <c r="AF2" s="572"/>
      <c r="AG2" s="572"/>
      <c r="AH2" s="572"/>
      <c r="AI2" s="572"/>
      <c r="AJ2" s="572"/>
      <c r="AK2" s="37">
        <v>0</v>
      </c>
    </row>
    <row r="3" hidden="1" customHeight="1" spans="5:37">
      <c r="E3" s="976" t="s">
        <v>628</v>
      </c>
      <c r="L3" s="42">
        <f>0</f>
        <v>0</v>
      </c>
      <c r="M3" s="42">
        <v>1</v>
      </c>
      <c r="AK3" s="42">
        <v>0</v>
      </c>
    </row>
    <row r="4" s="572" customFormat="1" hidden="1" customHeight="1" spans="1:37">
      <c r="A4" s="946"/>
      <c r="B4" s="946"/>
      <c r="C4" s="946"/>
      <c r="E4" s="946"/>
      <c r="F4" s="37"/>
      <c r="G4" s="43"/>
      <c r="N4" s="37"/>
      <c r="O4" s="572">
        <v>4</v>
      </c>
      <c r="P4" s="37"/>
      <c r="Q4" s="43"/>
      <c r="R4" s="43"/>
      <c r="S4" s="37"/>
      <c r="T4" s="37"/>
      <c r="U4" s="37"/>
      <c r="V4" s="37"/>
      <c r="W4" s="43"/>
      <c r="X4" s="37"/>
      <c r="Y4" s="37"/>
      <c r="Z4" s="947"/>
      <c r="AA4" s="37"/>
      <c r="AB4" s="37"/>
      <c r="AC4" s="37"/>
      <c r="AD4" s="37"/>
      <c r="AE4" s="37"/>
      <c r="AK4" s="572">
        <v>0</v>
      </c>
    </row>
    <row r="5" ht="11.55" customHeight="1" spans="37:37">
      <c r="AK5" s="42">
        <v>11</v>
      </c>
    </row>
    <row r="6" ht="57.75" customHeight="1" spans="9:37">
      <c r="I6" s="968" t="s">
        <v>629</v>
      </c>
      <c r="J6" s="968"/>
      <c r="K6" s="968"/>
      <c r="L6" s="968"/>
      <c r="M6" s="968"/>
      <c r="O6" s="120"/>
      <c r="AK6" s="42">
        <v>55</v>
      </c>
    </row>
    <row r="7" ht="25.2" customHeight="1" spans="9:37">
      <c r="I7" s="657" t="str">
        <f>IF(org=0,"Не определено",org)</f>
        <v>АО "ОЭЗ ППТ "Алабуга"</v>
      </c>
      <c r="J7" s="657"/>
      <c r="K7" s="657"/>
      <c r="L7" s="657"/>
      <c r="M7" s="657"/>
      <c r="AK7" s="42">
        <v>24</v>
      </c>
    </row>
    <row r="8" ht="11.55" customHeight="1" spans="9:37">
      <c r="I8" s="889"/>
      <c r="J8" s="889"/>
      <c r="K8" s="889"/>
      <c r="L8" s="889"/>
      <c r="M8" s="889"/>
      <c r="AK8" s="42">
        <v>11</v>
      </c>
    </row>
    <row r="9" s="43" customFormat="1" ht="30" hidden="1" customHeight="1" spans="1:37">
      <c r="A9" s="306"/>
      <c r="B9" s="306"/>
      <c r="C9" s="306"/>
      <c r="E9" s="306"/>
      <c r="L9" s="948"/>
      <c r="M9" s="948" t="s">
        <v>119</v>
      </c>
      <c r="AK9" s="43">
        <v>1</v>
      </c>
    </row>
    <row r="10" ht="11.55" customHeight="1" spans="5:37">
      <c r="E10" s="977" t="s">
        <v>630</v>
      </c>
      <c r="I10" s="751"/>
      <c r="J10" s="752" t="s">
        <v>107</v>
      </c>
      <c r="K10" s="753"/>
      <c r="L10" s="912" t="str">
        <f>IF(L9="","",INDEX(DIFFERENTIATION_UNMERGE_VD,MATCH(L9,DIFFERENTIATION_ID_DIFF,0)))</f>
        <v/>
      </c>
      <c r="M10" s="912">
        <f>IF(M9="","",INDEX(DIFFERENTIATION_UNMERGE_VD,MATCH(M9,DIFFERENTIATION_ID_DIFF,0)))</f>
        <v>0</v>
      </c>
      <c r="O10" s="63" t="s">
        <v>306</v>
      </c>
      <c r="AK10" s="42">
        <v>11</v>
      </c>
    </row>
    <row r="11" ht="11.55" customHeight="1" spans="5:37">
      <c r="E11" s="977" t="s">
        <v>631</v>
      </c>
      <c r="I11" s="751"/>
      <c r="J11" s="752" t="s">
        <v>574</v>
      </c>
      <c r="K11" s="753"/>
      <c r="L11" s="912" t="str">
        <f>IF(L9="","",INDEX(DIFFERENTIATION_UNMERGE_AREA,MATCH(L9,DIFFERENTIATION_ID_DIFF,0)))</f>
        <v/>
      </c>
      <c r="M11" s="912" t="str">
        <f>IF(M9="","",INDEX(DIFFERENTIATION_UNMERGE_AREA,MATCH(M9,DIFFERENTIATION_ID_DIFF,0)))</f>
        <v/>
      </c>
      <c r="O11" s="63"/>
      <c r="AK11" s="42">
        <v>11</v>
      </c>
    </row>
    <row r="12" ht="11.55" customHeight="1" spans="5:37">
      <c r="E12" s="977" t="s">
        <v>632</v>
      </c>
      <c r="I12" s="949"/>
      <c r="J12" s="752" t="s">
        <v>575</v>
      </c>
      <c r="K12" s="753"/>
      <c r="L12" s="912" t="str">
        <f>IF(L9="","",INDEX(DIFFERENTIATION_UNMERGE_SYSTEM,MATCH(L9,DIFFERENTIATION_ID_DIFF,0)))</f>
        <v/>
      </c>
      <c r="M12" s="912" t="str">
        <f>IF(M9="","",INDEX(DIFFERENTIATION_UNMERGE_SYSTEM,MATCH(M9,DIFFERENTIATION_ID_DIFF,0)))</f>
        <v>без дифференциации</v>
      </c>
      <c r="O12" s="63"/>
      <c r="AK12" s="42">
        <v>11</v>
      </c>
    </row>
    <row r="13" ht="11.55" customHeight="1" spans="5:37">
      <c r="E13" s="977" t="s">
        <v>633</v>
      </c>
      <c r="F13" s="977" t="s">
        <v>634</v>
      </c>
      <c r="I13" s="756" t="s">
        <v>305</v>
      </c>
      <c r="J13" s="757"/>
      <c r="K13" s="757"/>
      <c r="L13" s="752"/>
      <c r="M13" s="979"/>
      <c r="O13" s="63"/>
      <c r="AK13" s="42">
        <v>11</v>
      </c>
    </row>
    <row r="14" ht="24" customHeight="1" spans="9:37">
      <c r="I14" s="63" t="s">
        <v>89</v>
      </c>
      <c r="J14" s="63" t="s">
        <v>307</v>
      </c>
      <c r="K14" s="63" t="s">
        <v>576</v>
      </c>
      <c r="L14" s="125" t="s">
        <v>308</v>
      </c>
      <c r="M14" s="63" t="s">
        <v>308</v>
      </c>
      <c r="O14" s="63"/>
      <c r="AK14" s="42">
        <v>23</v>
      </c>
    </row>
    <row r="15" ht="24" customHeight="1" spans="1:37">
      <c r="A15" s="978"/>
      <c r="B15" s="973" t="s">
        <v>635</v>
      </c>
      <c r="C15" s="973" t="s">
        <v>636</v>
      </c>
      <c r="D15" s="974" t="s">
        <v>637</v>
      </c>
      <c r="E15" s="975" t="s">
        <v>638</v>
      </c>
      <c r="F15" s="975" t="s">
        <v>638</v>
      </c>
      <c r="G15" s="43" t="s">
        <v>598</v>
      </c>
      <c r="H15" s="519"/>
      <c r="I15" s="953">
        <v>1</v>
      </c>
      <c r="J15" s="392" t="s">
        <v>639</v>
      </c>
      <c r="K15" s="63" t="s">
        <v>311</v>
      </c>
      <c r="L15" s="917"/>
      <c r="M15" s="625"/>
      <c r="N15" s="965" t="s">
        <v>640</v>
      </c>
      <c r="O15" s="82" t="s">
        <v>641</v>
      </c>
      <c r="P15" s="965" t="s">
        <v>640</v>
      </c>
      <c r="AK15" s="42">
        <v>23</v>
      </c>
    </row>
    <row r="16" ht="35.7" customHeight="1" spans="1:37">
      <c r="A16" s="978"/>
      <c r="B16" s="973" t="s">
        <v>642</v>
      </c>
      <c r="C16" s="973" t="s">
        <v>643</v>
      </c>
      <c r="D16" s="974" t="s">
        <v>627</v>
      </c>
      <c r="E16" s="975" t="s">
        <v>638</v>
      </c>
      <c r="F16" s="975" t="s">
        <v>638</v>
      </c>
      <c r="H16" s="519"/>
      <c r="I16" s="955">
        <v>2</v>
      </c>
      <c r="J16" s="550" t="s">
        <v>644</v>
      </c>
      <c r="K16" s="70" t="s">
        <v>566</v>
      </c>
      <c r="L16" s="980"/>
      <c r="M16" s="970"/>
      <c r="N16" s="965" t="s">
        <v>640</v>
      </c>
      <c r="O16" s="82" t="s">
        <v>645</v>
      </c>
      <c r="P16" s="965" t="s">
        <v>640</v>
      </c>
      <c r="AK16" s="42">
        <v>34</v>
      </c>
    </row>
    <row r="17" s="43" customFormat="1" ht="17.25" hidden="1" customHeight="1" spans="1:37">
      <c r="A17" s="306"/>
      <c r="B17" s="306"/>
      <c r="C17" s="306"/>
      <c r="D17" s="306"/>
      <c r="E17" s="306"/>
      <c r="H17" s="306"/>
      <c r="I17" s="672" t="s">
        <v>646</v>
      </c>
      <c r="J17" s="957"/>
      <c r="K17" s="672"/>
      <c r="L17" s="958"/>
      <c r="M17" s="958"/>
      <c r="O17" s="981"/>
      <c r="AK17" s="43">
        <v>1</v>
      </c>
    </row>
    <row r="18" s="37" customFormat="1" ht="24" customHeight="1" spans="1:37">
      <c r="A18" s="946"/>
      <c r="B18" s="946"/>
      <c r="C18" s="946"/>
      <c r="D18" s="946"/>
      <c r="E18" s="946"/>
      <c r="G18" s="43"/>
      <c r="H18" s="216"/>
      <c r="I18" s="959"/>
      <c r="J18" s="775" t="s">
        <v>596</v>
      </c>
      <c r="K18" s="401"/>
      <c r="L18" s="982"/>
      <c r="M18" s="909"/>
      <c r="N18" s="965"/>
      <c r="O18" s="82" t="s">
        <v>597</v>
      </c>
      <c r="P18" s="965"/>
      <c r="Q18" s="43"/>
      <c r="R18" s="43"/>
      <c r="W18" s="43"/>
      <c r="Z18" s="947"/>
      <c r="AF18" s="572"/>
      <c r="AG18" s="572"/>
      <c r="AH18" s="572"/>
      <c r="AI18" s="572"/>
      <c r="AJ18" s="572"/>
      <c r="AK18" s="37">
        <v>23</v>
      </c>
    </row>
    <row r="19" ht="19.95" customHeight="1" spans="1:37">
      <c r="A19" s="978"/>
      <c r="B19" s="973" t="s">
        <v>647</v>
      </c>
      <c r="C19" s="973" t="s">
        <v>648</v>
      </c>
      <c r="D19" s="974" t="s">
        <v>627</v>
      </c>
      <c r="E19" s="975" t="s">
        <v>638</v>
      </c>
      <c r="F19" s="975" t="s">
        <v>638</v>
      </c>
      <c r="H19" s="519"/>
      <c r="I19" s="954">
        <v>3</v>
      </c>
      <c r="J19" s="392" t="s">
        <v>648</v>
      </c>
      <c r="K19" s="127" t="s">
        <v>566</v>
      </c>
      <c r="L19" s="943"/>
      <c r="M19" s="916"/>
      <c r="N19" s="965"/>
      <c r="O19" s="82" t="s">
        <v>649</v>
      </c>
      <c r="P19" s="965"/>
      <c r="AK19" s="42">
        <v>19</v>
      </c>
    </row>
    <row r="20" ht="77.7" customHeight="1" spans="1:37">
      <c r="A20" s="978"/>
      <c r="B20" s="973" t="s">
        <v>650</v>
      </c>
      <c r="C20" s="973" t="s">
        <v>651</v>
      </c>
      <c r="D20" s="974" t="s">
        <v>627</v>
      </c>
      <c r="E20" s="975" t="s">
        <v>638</v>
      </c>
      <c r="F20" s="975" t="s">
        <v>638</v>
      </c>
      <c r="H20" s="519"/>
      <c r="I20" s="954">
        <v>4</v>
      </c>
      <c r="J20" s="392" t="s">
        <v>652</v>
      </c>
      <c r="K20" s="127" t="s">
        <v>593</v>
      </c>
      <c r="L20" s="943"/>
      <c r="M20" s="916"/>
      <c r="N20" s="965"/>
      <c r="O20" s="82"/>
      <c r="P20" s="965"/>
      <c r="AK20" s="42">
        <v>74</v>
      </c>
    </row>
    <row r="21" ht="35.7" customHeight="1" spans="1:37">
      <c r="A21" s="978"/>
      <c r="B21" s="973" t="s">
        <v>653</v>
      </c>
      <c r="C21" s="973" t="s">
        <v>654</v>
      </c>
      <c r="D21" s="974" t="s">
        <v>627</v>
      </c>
      <c r="E21" s="975" t="s">
        <v>638</v>
      </c>
      <c r="F21" s="975" t="s">
        <v>638</v>
      </c>
      <c r="H21" s="519"/>
      <c r="I21" s="954">
        <v>5</v>
      </c>
      <c r="J21" s="392" t="s">
        <v>655</v>
      </c>
      <c r="K21" s="127" t="s">
        <v>593</v>
      </c>
      <c r="L21" s="943"/>
      <c r="M21" s="916"/>
      <c r="N21" s="965"/>
      <c r="O21" s="82" t="s">
        <v>649</v>
      </c>
      <c r="P21" s="965"/>
      <c r="AK21" s="42">
        <v>34</v>
      </c>
    </row>
    <row r="22" ht="48.3" customHeight="1" spans="1:37">
      <c r="A22" s="978"/>
      <c r="B22" s="973" t="s">
        <v>656</v>
      </c>
      <c r="C22" s="973" t="s">
        <v>657</v>
      </c>
      <c r="D22" s="974" t="s">
        <v>627</v>
      </c>
      <c r="E22" s="975" t="s">
        <v>638</v>
      </c>
      <c r="F22" s="975" t="s">
        <v>638</v>
      </c>
      <c r="H22" s="519"/>
      <c r="I22" s="954">
        <v>6</v>
      </c>
      <c r="J22" s="392" t="s">
        <v>658</v>
      </c>
      <c r="K22" s="127" t="s">
        <v>593</v>
      </c>
      <c r="L22" s="943"/>
      <c r="M22" s="916"/>
      <c r="N22" s="965"/>
      <c r="O22" s="82" t="s">
        <v>659</v>
      </c>
      <c r="P22" s="965"/>
      <c r="AK22" s="42">
        <v>46</v>
      </c>
    </row>
    <row r="23" ht="19.95" customHeight="1" spans="1:37">
      <c r="A23" s="978"/>
      <c r="B23" s="973" t="s">
        <v>660</v>
      </c>
      <c r="C23" s="973" t="s">
        <v>661</v>
      </c>
      <c r="D23" s="974" t="s">
        <v>627</v>
      </c>
      <c r="E23" s="975" t="s">
        <v>638</v>
      </c>
      <c r="F23" s="975" t="s">
        <v>638</v>
      </c>
      <c r="H23" s="519"/>
      <c r="I23" s="954" t="s">
        <v>662</v>
      </c>
      <c r="J23" s="666" t="s">
        <v>663</v>
      </c>
      <c r="K23" s="127" t="s">
        <v>593</v>
      </c>
      <c r="L23" s="943"/>
      <c r="M23" s="916"/>
      <c r="N23" s="965"/>
      <c r="O23" s="82" t="s">
        <v>649</v>
      </c>
      <c r="P23" s="965"/>
      <c r="AK23" s="42">
        <v>19</v>
      </c>
    </row>
    <row r="24" ht="19.95" customHeight="1" spans="1:37">
      <c r="A24" s="978"/>
      <c r="B24" s="973" t="s">
        <v>664</v>
      </c>
      <c r="C24" s="973" t="s">
        <v>665</v>
      </c>
      <c r="D24" s="974" t="s">
        <v>627</v>
      </c>
      <c r="E24" s="975" t="s">
        <v>638</v>
      </c>
      <c r="F24" s="975" t="s">
        <v>638</v>
      </c>
      <c r="H24" s="519"/>
      <c r="I24" s="954" t="s">
        <v>666</v>
      </c>
      <c r="J24" s="666" t="s">
        <v>667</v>
      </c>
      <c r="K24" s="127" t="s">
        <v>593</v>
      </c>
      <c r="L24" s="943"/>
      <c r="M24" s="916"/>
      <c r="N24" s="965"/>
      <c r="O24" s="82"/>
      <c r="P24" s="965"/>
      <c r="AK24" s="42">
        <v>19</v>
      </c>
    </row>
    <row r="25" ht="24" customHeight="1" spans="1:37">
      <c r="A25" s="978"/>
      <c r="B25" s="973" t="s">
        <v>668</v>
      </c>
      <c r="C25" s="973" t="s">
        <v>669</v>
      </c>
      <c r="D25" s="974" t="s">
        <v>627</v>
      </c>
      <c r="E25" s="975" t="s">
        <v>638</v>
      </c>
      <c r="F25" s="975" t="s">
        <v>638</v>
      </c>
      <c r="H25" s="519"/>
      <c r="I25" s="954" t="s">
        <v>670</v>
      </c>
      <c r="J25" s="666" t="s">
        <v>671</v>
      </c>
      <c r="K25" s="127" t="s">
        <v>593</v>
      </c>
      <c r="L25" s="943"/>
      <c r="M25" s="916"/>
      <c r="N25" s="965"/>
      <c r="O25" s="82"/>
      <c r="P25" s="965"/>
      <c r="AK25" s="42">
        <v>23</v>
      </c>
    </row>
    <row r="26" ht="24" customHeight="1" spans="1:37">
      <c r="A26" s="978"/>
      <c r="B26" s="973" t="s">
        <v>672</v>
      </c>
      <c r="C26" s="973" t="s">
        <v>673</v>
      </c>
      <c r="D26" s="974" t="s">
        <v>627</v>
      </c>
      <c r="E26" s="975" t="s">
        <v>638</v>
      </c>
      <c r="F26" s="975" t="s">
        <v>638</v>
      </c>
      <c r="H26" s="519"/>
      <c r="I26" s="954">
        <v>7</v>
      </c>
      <c r="J26" s="392" t="s">
        <v>673</v>
      </c>
      <c r="K26" s="127" t="s">
        <v>674</v>
      </c>
      <c r="L26" s="943"/>
      <c r="M26" s="916"/>
      <c r="N26" s="965"/>
      <c r="O26" s="82"/>
      <c r="P26" s="965"/>
      <c r="AK26" s="42">
        <v>23</v>
      </c>
    </row>
    <row r="27" ht="24" customHeight="1" spans="1:37">
      <c r="A27" s="978"/>
      <c r="B27" s="973" t="s">
        <v>675</v>
      </c>
      <c r="C27" s="973" t="s">
        <v>676</v>
      </c>
      <c r="D27" s="974" t="s">
        <v>627</v>
      </c>
      <c r="E27" s="975" t="s">
        <v>638</v>
      </c>
      <c r="F27" s="975" t="s">
        <v>638</v>
      </c>
      <c r="H27" s="519"/>
      <c r="I27" s="954">
        <v>8</v>
      </c>
      <c r="J27" s="392" t="s">
        <v>676</v>
      </c>
      <c r="K27" s="127" t="s">
        <v>599</v>
      </c>
      <c r="L27" s="943"/>
      <c r="M27" s="916"/>
      <c r="N27" s="965"/>
      <c r="O27" s="82"/>
      <c r="P27" s="965"/>
      <c r="AK27" s="42">
        <v>23</v>
      </c>
    </row>
    <row r="28" ht="35.7" customHeight="1" spans="1:37">
      <c r="A28" s="978"/>
      <c r="B28" s="973" t="s">
        <v>677</v>
      </c>
      <c r="C28" s="973" t="s">
        <v>678</v>
      </c>
      <c r="D28" s="974" t="s">
        <v>627</v>
      </c>
      <c r="E28" s="975" t="s">
        <v>638</v>
      </c>
      <c r="F28" s="975" t="s">
        <v>638</v>
      </c>
      <c r="H28" s="519"/>
      <c r="I28" s="969">
        <v>9</v>
      </c>
      <c r="J28" s="392" t="s">
        <v>679</v>
      </c>
      <c r="K28" s="127" t="s">
        <v>570</v>
      </c>
      <c r="L28" s="943"/>
      <c r="M28" s="916"/>
      <c r="N28" s="965"/>
      <c r="O28" s="82"/>
      <c r="P28" s="965"/>
      <c r="AK28" s="42">
        <v>34</v>
      </c>
    </row>
    <row r="29" ht="35.7" customHeight="1" spans="1:37">
      <c r="A29" s="978"/>
      <c r="B29" s="973" t="s">
        <v>680</v>
      </c>
      <c r="C29" s="973" t="s">
        <v>681</v>
      </c>
      <c r="D29" s="974" t="s">
        <v>627</v>
      </c>
      <c r="E29" s="975" t="s">
        <v>638</v>
      </c>
      <c r="F29" s="975" t="s">
        <v>638</v>
      </c>
      <c r="H29" s="519"/>
      <c r="I29" s="969">
        <v>10</v>
      </c>
      <c r="J29" s="392" t="s">
        <v>682</v>
      </c>
      <c r="K29" s="127" t="s">
        <v>570</v>
      </c>
      <c r="L29" s="943"/>
      <c r="M29" s="916"/>
      <c r="N29" s="965"/>
      <c r="O29" s="82"/>
      <c r="P29" s="965"/>
      <c r="AK29" s="42">
        <v>34</v>
      </c>
    </row>
    <row r="30" ht="24" customHeight="1" spans="1:37">
      <c r="A30" s="978"/>
      <c r="B30" s="973" t="s">
        <v>683</v>
      </c>
      <c r="C30" s="973" t="s">
        <v>684</v>
      </c>
      <c r="D30" s="974" t="s">
        <v>627</v>
      </c>
      <c r="E30" s="975" t="s">
        <v>638</v>
      </c>
      <c r="F30" s="975" t="s">
        <v>638</v>
      </c>
      <c r="H30" s="519"/>
      <c r="I30" s="969">
        <v>11</v>
      </c>
      <c r="J30" s="392" t="s">
        <v>684</v>
      </c>
      <c r="K30" s="127" t="s">
        <v>600</v>
      </c>
      <c r="L30" s="983"/>
      <c r="M30" s="984"/>
      <c r="N30" s="965"/>
      <c r="O30" s="82"/>
      <c r="P30" s="965"/>
      <c r="AK30" s="42">
        <v>23</v>
      </c>
    </row>
    <row r="31" ht="24" customHeight="1" spans="1:37">
      <c r="A31" s="978"/>
      <c r="B31" s="973" t="s">
        <v>685</v>
      </c>
      <c r="C31" s="973" t="s">
        <v>686</v>
      </c>
      <c r="D31" s="974" t="s">
        <v>627</v>
      </c>
      <c r="E31" s="975" t="s">
        <v>638</v>
      </c>
      <c r="F31" s="975" t="s">
        <v>638</v>
      </c>
      <c r="H31" s="519"/>
      <c r="I31" s="969">
        <v>12</v>
      </c>
      <c r="J31" s="392" t="s">
        <v>686</v>
      </c>
      <c r="K31" s="127" t="s">
        <v>600</v>
      </c>
      <c r="L31" s="983"/>
      <c r="M31" s="984"/>
      <c r="N31" s="965"/>
      <c r="O31" s="82"/>
      <c r="P31" s="965"/>
      <c r="AK31" s="42">
        <v>23</v>
      </c>
    </row>
    <row r="32" ht="48.3" customHeight="1" spans="1:37">
      <c r="A32" s="978"/>
      <c r="B32" s="973" t="s">
        <v>687</v>
      </c>
      <c r="C32" s="973" t="s">
        <v>688</v>
      </c>
      <c r="D32" s="974" t="s">
        <v>627</v>
      </c>
      <c r="E32" s="975" t="s">
        <v>638</v>
      </c>
      <c r="F32" s="975" t="s">
        <v>638</v>
      </c>
      <c r="H32" s="519"/>
      <c r="I32" s="969">
        <v>13</v>
      </c>
      <c r="J32" s="392" t="s">
        <v>689</v>
      </c>
      <c r="K32" s="127" t="s">
        <v>610</v>
      </c>
      <c r="L32" s="943"/>
      <c r="M32" s="916"/>
      <c r="N32" s="965"/>
      <c r="O32" s="82" t="s">
        <v>649</v>
      </c>
      <c r="P32" s="965"/>
      <c r="AK32" s="42">
        <v>46</v>
      </c>
    </row>
    <row r="33" s="37" customFormat="1" ht="48.3" customHeight="1" spans="1:37">
      <c r="A33" s="978"/>
      <c r="B33" s="973" t="s">
        <v>690</v>
      </c>
      <c r="C33" s="973" t="s">
        <v>691</v>
      </c>
      <c r="D33" s="974" t="s">
        <v>627</v>
      </c>
      <c r="E33" s="975" t="s">
        <v>638</v>
      </c>
      <c r="F33" s="975" t="s">
        <v>638</v>
      </c>
      <c r="G33" s="43"/>
      <c r="H33" s="519"/>
      <c r="I33" s="969">
        <v>14</v>
      </c>
      <c r="J33" s="550" t="s">
        <v>692</v>
      </c>
      <c r="K33" s="892" t="s">
        <v>693</v>
      </c>
      <c r="L33" s="943"/>
      <c r="M33" s="916"/>
      <c r="N33" s="965"/>
      <c r="O33" s="82" t="s">
        <v>649</v>
      </c>
      <c r="P33" s="965"/>
      <c r="Q33" s="43"/>
      <c r="R33" s="43"/>
      <c r="W33" s="43"/>
      <c r="Z33" s="947"/>
      <c r="AF33" s="572"/>
      <c r="AG33" s="572"/>
      <c r="AH33" s="572"/>
      <c r="AI33" s="572"/>
      <c r="AJ33" s="572"/>
      <c r="AK33" s="37">
        <v>46</v>
      </c>
    </row>
    <row r="34" ht="108" customHeight="1" spans="1:37">
      <c r="A34" s="978"/>
      <c r="B34" s="973" t="s">
        <v>694</v>
      </c>
      <c r="C34" s="973" t="s">
        <v>695</v>
      </c>
      <c r="D34" s="974" t="s">
        <v>637</v>
      </c>
      <c r="E34" s="975" t="s">
        <v>638</v>
      </c>
      <c r="F34" s="975" t="s">
        <v>638</v>
      </c>
      <c r="G34" s="43" t="s">
        <v>598</v>
      </c>
      <c r="H34" s="519"/>
      <c r="I34" s="231">
        <v>15</v>
      </c>
      <c r="J34" s="392" t="s">
        <v>696</v>
      </c>
      <c r="K34" s="127" t="s">
        <v>311</v>
      </c>
      <c r="L34" s="815"/>
      <c r="M34" s="575"/>
      <c r="N34" s="965"/>
      <c r="O34" s="82" t="s">
        <v>641</v>
      </c>
      <c r="P34" s="965"/>
      <c r="AK34" s="42">
        <v>103</v>
      </c>
    </row>
    <row r="35" s="36" customFormat="1" ht="11.55" customHeight="1" spans="1:37">
      <c r="A35" s="946"/>
      <c r="B35" s="946"/>
      <c r="C35" s="946"/>
      <c r="D35" s="946"/>
      <c r="E35" s="946"/>
      <c r="F35" s="43"/>
      <c r="G35" s="43"/>
      <c r="N35" s="37"/>
      <c r="P35" s="37"/>
      <c r="Q35" s="43"/>
      <c r="R35" s="43"/>
      <c r="S35" s="37"/>
      <c r="T35" s="37"/>
      <c r="U35" s="37"/>
      <c r="V35" s="37"/>
      <c r="W35" s="43"/>
      <c r="X35" s="37"/>
      <c r="Y35" s="37"/>
      <c r="Z35" s="947"/>
      <c r="AA35" s="37"/>
      <c r="AB35" s="37"/>
      <c r="AC35" s="37"/>
      <c r="AD35" s="37"/>
      <c r="AE35" s="37"/>
      <c r="AF35" s="572"/>
      <c r="AG35" s="963"/>
      <c r="AH35" s="963"/>
      <c r="AI35" s="963"/>
      <c r="AJ35" s="963"/>
      <c r="AK35" s="36">
        <v>11</v>
      </c>
    </row>
    <row r="36" s="36" customFormat="1" ht="11.55" customHeight="1" spans="1:37">
      <c r="A36" s="946"/>
      <c r="B36" s="946"/>
      <c r="C36" s="946"/>
      <c r="D36" s="946"/>
      <c r="E36" s="946"/>
      <c r="F36" s="43"/>
      <c r="G36" s="43"/>
      <c r="N36" s="37"/>
      <c r="P36" s="37"/>
      <c r="Q36" s="43"/>
      <c r="R36" s="43"/>
      <c r="S36" s="37"/>
      <c r="T36" s="37"/>
      <c r="U36" s="37"/>
      <c r="V36" s="37"/>
      <c r="W36" s="43"/>
      <c r="X36" s="37"/>
      <c r="Y36" s="37"/>
      <c r="Z36" s="947"/>
      <c r="AA36" s="37"/>
      <c r="AB36" s="37"/>
      <c r="AC36" s="37"/>
      <c r="AD36" s="37"/>
      <c r="AE36" s="37"/>
      <c r="AF36" s="572"/>
      <c r="AG36" s="963"/>
      <c r="AH36" s="963"/>
      <c r="AI36" s="963"/>
      <c r="AJ36" s="963"/>
      <c r="AK36" s="36">
        <v>11</v>
      </c>
    </row>
    <row r="37" s="36" customFormat="1" ht="11.55" customHeight="1" spans="1:37">
      <c r="A37" s="946"/>
      <c r="B37" s="946"/>
      <c r="C37" s="946"/>
      <c r="D37" s="946"/>
      <c r="E37" s="946"/>
      <c r="F37" s="43"/>
      <c r="G37" s="43"/>
      <c r="L37" s="963"/>
      <c r="M37" s="963"/>
      <c r="N37" s="37"/>
      <c r="P37" s="37"/>
      <c r="Q37" s="43"/>
      <c r="R37" s="43"/>
      <c r="S37" s="37"/>
      <c r="T37" s="37"/>
      <c r="U37" s="37"/>
      <c r="V37" s="37"/>
      <c r="W37" s="43"/>
      <c r="X37" s="37"/>
      <c r="Y37" s="37"/>
      <c r="Z37" s="947"/>
      <c r="AA37" s="37"/>
      <c r="AB37" s="37"/>
      <c r="AC37" s="37"/>
      <c r="AD37" s="37"/>
      <c r="AE37" s="37"/>
      <c r="AF37" s="572"/>
      <c r="AG37" s="963"/>
      <c r="AH37" s="963"/>
      <c r="AI37" s="963"/>
      <c r="AJ37" s="963"/>
      <c r="AK37" s="36">
        <v>11</v>
      </c>
    </row>
    <row r="38" s="36" customFormat="1" ht="11.55" customHeight="1" spans="1:37">
      <c r="A38" s="946"/>
      <c r="B38" s="946"/>
      <c r="C38" s="946"/>
      <c r="D38" s="946"/>
      <c r="E38" s="946"/>
      <c r="F38" s="43"/>
      <c r="G38" s="43"/>
      <c r="N38" s="37"/>
      <c r="P38" s="37"/>
      <c r="Q38" s="43"/>
      <c r="R38" s="43"/>
      <c r="S38" s="37"/>
      <c r="T38" s="37"/>
      <c r="U38" s="37"/>
      <c r="V38" s="37"/>
      <c r="W38" s="43"/>
      <c r="X38" s="37"/>
      <c r="Y38" s="37"/>
      <c r="Z38" s="947"/>
      <c r="AA38" s="37"/>
      <c r="AB38" s="37"/>
      <c r="AC38" s="37"/>
      <c r="AD38" s="37"/>
      <c r="AE38" s="37"/>
      <c r="AF38" s="572"/>
      <c r="AG38" s="963"/>
      <c r="AH38" s="963"/>
      <c r="AI38" s="963"/>
      <c r="AJ38" s="963"/>
      <c r="AK38" s="36">
        <v>11</v>
      </c>
    </row>
    <row r="39" s="36" customFormat="1" ht="11.55" customHeight="1" spans="1:37">
      <c r="A39" s="946"/>
      <c r="B39" s="946"/>
      <c r="C39" s="946"/>
      <c r="D39" s="946"/>
      <c r="E39" s="946"/>
      <c r="F39" s="43"/>
      <c r="G39" s="43"/>
      <c r="N39" s="37"/>
      <c r="P39" s="37"/>
      <c r="Q39" s="43"/>
      <c r="R39" s="43"/>
      <c r="S39" s="37"/>
      <c r="T39" s="37"/>
      <c r="U39" s="37"/>
      <c r="V39" s="37"/>
      <c r="W39" s="43"/>
      <c r="X39" s="37"/>
      <c r="Y39" s="37"/>
      <c r="Z39" s="947"/>
      <c r="AA39" s="37"/>
      <c r="AB39" s="37"/>
      <c r="AC39" s="37"/>
      <c r="AD39" s="37"/>
      <c r="AE39" s="37"/>
      <c r="AF39" s="572"/>
      <c r="AG39" s="963"/>
      <c r="AH39" s="963"/>
      <c r="AI39" s="963"/>
      <c r="AJ39" s="963"/>
      <c r="AK39" s="36">
        <v>11</v>
      </c>
    </row>
    <row r="40" s="36" customFormat="1" ht="11.55" customHeight="1" spans="1:37">
      <c r="A40" s="946"/>
      <c r="B40" s="946"/>
      <c r="C40" s="946"/>
      <c r="D40" s="946"/>
      <c r="E40" s="946"/>
      <c r="F40" s="43"/>
      <c r="G40" s="43"/>
      <c r="N40" s="37"/>
      <c r="P40" s="37"/>
      <c r="Q40" s="43"/>
      <c r="R40" s="43"/>
      <c r="S40" s="37"/>
      <c r="T40" s="37"/>
      <c r="U40" s="37"/>
      <c r="V40" s="37"/>
      <c r="W40" s="43"/>
      <c r="X40" s="37"/>
      <c r="Y40" s="37"/>
      <c r="Z40" s="947"/>
      <c r="AA40" s="37"/>
      <c r="AB40" s="37"/>
      <c r="AC40" s="37"/>
      <c r="AD40" s="37"/>
      <c r="AE40" s="37"/>
      <c r="AF40" s="572"/>
      <c r="AG40" s="963"/>
      <c r="AH40" s="963"/>
      <c r="AI40" s="963"/>
      <c r="AJ40" s="963"/>
      <c r="AK40" s="36">
        <v>11</v>
      </c>
    </row>
    <row r="41" s="36" customFormat="1" ht="11.55" customHeight="1" spans="1:37">
      <c r="A41" s="946"/>
      <c r="B41" s="946"/>
      <c r="C41" s="946"/>
      <c r="D41" s="946"/>
      <c r="E41" s="946"/>
      <c r="F41" s="43"/>
      <c r="G41" s="43"/>
      <c r="N41" s="37"/>
      <c r="P41" s="37"/>
      <c r="Q41" s="43"/>
      <c r="R41" s="43"/>
      <c r="S41" s="37"/>
      <c r="T41" s="37"/>
      <c r="U41" s="37"/>
      <c r="V41" s="37"/>
      <c r="W41" s="43"/>
      <c r="X41" s="37"/>
      <c r="Y41" s="37"/>
      <c r="Z41" s="947"/>
      <c r="AA41" s="37"/>
      <c r="AB41" s="37"/>
      <c r="AC41" s="37"/>
      <c r="AD41" s="37"/>
      <c r="AE41" s="37"/>
      <c r="AF41" s="572"/>
      <c r="AG41" s="963"/>
      <c r="AH41" s="963"/>
      <c r="AI41" s="963"/>
      <c r="AJ41" s="963"/>
      <c r="AK41" s="36">
        <v>11</v>
      </c>
    </row>
    <row r="42" s="36" customFormat="1" ht="11.55" customHeight="1" spans="1:37">
      <c r="A42" s="946"/>
      <c r="B42" s="946"/>
      <c r="C42" s="946"/>
      <c r="D42" s="946"/>
      <c r="E42" s="946"/>
      <c r="F42" s="43"/>
      <c r="G42" s="43"/>
      <c r="N42" s="37"/>
      <c r="P42" s="37"/>
      <c r="Q42" s="43"/>
      <c r="R42" s="43"/>
      <c r="S42" s="37"/>
      <c r="T42" s="37"/>
      <c r="U42" s="37"/>
      <c r="V42" s="37"/>
      <c r="W42" s="43"/>
      <c r="X42" s="37"/>
      <c r="Y42" s="37"/>
      <c r="Z42" s="947"/>
      <c r="AA42" s="37"/>
      <c r="AB42" s="37"/>
      <c r="AC42" s="37"/>
      <c r="AD42" s="37"/>
      <c r="AE42" s="37"/>
      <c r="AF42" s="572"/>
      <c r="AG42" s="963"/>
      <c r="AH42" s="963"/>
      <c r="AI42" s="963"/>
      <c r="AJ42" s="963"/>
      <c r="AK42" s="36">
        <v>11</v>
      </c>
    </row>
    <row r="43" s="36" customFormat="1" ht="11.55" customHeight="1" spans="1:37">
      <c r="A43" s="946"/>
      <c r="B43" s="946"/>
      <c r="C43" s="946"/>
      <c r="D43" s="946"/>
      <c r="E43" s="946"/>
      <c r="F43" s="43"/>
      <c r="G43" s="43"/>
      <c r="N43" s="37"/>
      <c r="P43" s="37"/>
      <c r="Q43" s="43"/>
      <c r="R43" s="43"/>
      <c r="S43" s="37"/>
      <c r="T43" s="37"/>
      <c r="U43" s="37"/>
      <c r="V43" s="37"/>
      <c r="W43" s="43"/>
      <c r="X43" s="37"/>
      <c r="Y43" s="37"/>
      <c r="Z43" s="947"/>
      <c r="AA43" s="37"/>
      <c r="AB43" s="37"/>
      <c r="AC43" s="37"/>
      <c r="AD43" s="37"/>
      <c r="AE43" s="37"/>
      <c r="AF43" s="572"/>
      <c r="AG43" s="963"/>
      <c r="AH43" s="963"/>
      <c r="AI43" s="963"/>
      <c r="AJ43" s="963"/>
      <c r="AK43" s="36">
        <v>11</v>
      </c>
    </row>
    <row r="44" s="36" customFormat="1" ht="11.55" customHeight="1" spans="1:37">
      <c r="A44" s="946"/>
      <c r="B44" s="946"/>
      <c r="C44" s="946"/>
      <c r="D44" s="946"/>
      <c r="E44" s="946"/>
      <c r="F44" s="43"/>
      <c r="G44" s="43"/>
      <c r="N44" s="37"/>
      <c r="P44" s="37"/>
      <c r="Q44" s="43"/>
      <c r="R44" s="43"/>
      <c r="S44" s="37"/>
      <c r="T44" s="37"/>
      <c r="U44" s="37"/>
      <c r="V44" s="37"/>
      <c r="W44" s="43"/>
      <c r="X44" s="37"/>
      <c r="Y44" s="37"/>
      <c r="Z44" s="947"/>
      <c r="AA44" s="37"/>
      <c r="AB44" s="37"/>
      <c r="AC44" s="37"/>
      <c r="AD44" s="37"/>
      <c r="AE44" s="37"/>
      <c r="AF44" s="572"/>
      <c r="AG44" s="963"/>
      <c r="AH44" s="963"/>
      <c r="AI44" s="963"/>
      <c r="AJ44" s="963"/>
      <c r="AK44" s="36">
        <v>11</v>
      </c>
    </row>
    <row r="45" s="36" customFormat="1" ht="11.55" customHeight="1" spans="1:37">
      <c r="A45" s="946"/>
      <c r="B45" s="946"/>
      <c r="C45" s="946"/>
      <c r="D45" s="946"/>
      <c r="E45" s="946"/>
      <c r="F45" s="43"/>
      <c r="G45" s="43"/>
      <c r="N45" s="37"/>
      <c r="P45" s="37"/>
      <c r="Q45" s="43"/>
      <c r="R45" s="43"/>
      <c r="S45" s="37"/>
      <c r="T45" s="37"/>
      <c r="U45" s="37"/>
      <c r="V45" s="37"/>
      <c r="W45" s="43"/>
      <c r="X45" s="37"/>
      <c r="Y45" s="37"/>
      <c r="Z45" s="947"/>
      <c r="AA45" s="37"/>
      <c r="AB45" s="37"/>
      <c r="AC45" s="37"/>
      <c r="AD45" s="37"/>
      <c r="AE45" s="37"/>
      <c r="AF45" s="572"/>
      <c r="AG45" s="963"/>
      <c r="AH45" s="963"/>
      <c r="AI45" s="963"/>
      <c r="AJ45" s="963"/>
      <c r="AK45" s="36">
        <v>11</v>
      </c>
    </row>
    <row r="46" s="36" customFormat="1" ht="11.55" customHeight="1" spans="1:37">
      <c r="A46" s="946"/>
      <c r="B46" s="946"/>
      <c r="C46" s="946"/>
      <c r="D46" s="946"/>
      <c r="E46" s="946"/>
      <c r="F46" s="43"/>
      <c r="G46" s="43"/>
      <c r="N46" s="37"/>
      <c r="P46" s="37"/>
      <c r="Q46" s="43"/>
      <c r="R46" s="43"/>
      <c r="S46" s="37"/>
      <c r="T46" s="37"/>
      <c r="U46" s="37"/>
      <c r="V46" s="37"/>
      <c r="W46" s="43"/>
      <c r="X46" s="37"/>
      <c r="Y46" s="37"/>
      <c r="Z46" s="947"/>
      <c r="AA46" s="37"/>
      <c r="AB46" s="37"/>
      <c r="AC46" s="37"/>
      <c r="AD46" s="37"/>
      <c r="AE46" s="37"/>
      <c r="AF46" s="572"/>
      <c r="AG46" s="963"/>
      <c r="AH46" s="963"/>
      <c r="AI46" s="963"/>
      <c r="AJ46" s="963"/>
      <c r="AK46" s="36">
        <v>11</v>
      </c>
    </row>
    <row r="47" s="36" customFormat="1" ht="11.55" customHeight="1" spans="1:37">
      <c r="A47" s="946"/>
      <c r="B47" s="946"/>
      <c r="C47" s="946"/>
      <c r="D47" s="946"/>
      <c r="E47" s="946"/>
      <c r="F47" s="43"/>
      <c r="G47" s="43"/>
      <c r="N47" s="37"/>
      <c r="P47" s="37"/>
      <c r="Q47" s="43"/>
      <c r="R47" s="43"/>
      <c r="S47" s="37"/>
      <c r="T47" s="37"/>
      <c r="U47" s="37"/>
      <c r="V47" s="37"/>
      <c r="W47" s="43"/>
      <c r="X47" s="37"/>
      <c r="Y47" s="37"/>
      <c r="Z47" s="947"/>
      <c r="AA47" s="37"/>
      <c r="AB47" s="37"/>
      <c r="AC47" s="37"/>
      <c r="AD47" s="37"/>
      <c r="AE47" s="37"/>
      <c r="AF47" s="572"/>
      <c r="AG47" s="963"/>
      <c r="AH47" s="963"/>
      <c r="AI47" s="963"/>
      <c r="AJ47" s="963"/>
      <c r="AK47" s="36">
        <v>11</v>
      </c>
    </row>
    <row r="48" s="36" customFormat="1" ht="11.55" customHeight="1" spans="1:37">
      <c r="A48" s="946"/>
      <c r="B48" s="946"/>
      <c r="C48" s="946"/>
      <c r="D48" s="946"/>
      <c r="E48" s="946"/>
      <c r="F48" s="43"/>
      <c r="G48" s="43"/>
      <c r="N48" s="37"/>
      <c r="P48" s="37"/>
      <c r="Q48" s="43"/>
      <c r="R48" s="43"/>
      <c r="S48" s="37"/>
      <c r="T48" s="37"/>
      <c r="U48" s="37"/>
      <c r="V48" s="37"/>
      <c r="W48" s="43"/>
      <c r="X48" s="37"/>
      <c r="Y48" s="37"/>
      <c r="Z48" s="947"/>
      <c r="AA48" s="37"/>
      <c r="AB48" s="37"/>
      <c r="AC48" s="37"/>
      <c r="AD48" s="37"/>
      <c r="AE48" s="37"/>
      <c r="AF48" s="572"/>
      <c r="AG48" s="963"/>
      <c r="AH48" s="963"/>
      <c r="AI48" s="963"/>
      <c r="AJ48" s="963"/>
      <c r="AK48" s="36">
        <v>11</v>
      </c>
    </row>
    <row r="49" s="36" customFormat="1" ht="11.55" customHeight="1" spans="1:37">
      <c r="A49" s="946"/>
      <c r="B49" s="946"/>
      <c r="C49" s="946"/>
      <c r="D49" s="946"/>
      <c r="E49" s="946"/>
      <c r="F49" s="43"/>
      <c r="G49" s="43"/>
      <c r="N49" s="37"/>
      <c r="P49" s="37"/>
      <c r="Q49" s="43"/>
      <c r="R49" s="43"/>
      <c r="S49" s="37"/>
      <c r="T49" s="37"/>
      <c r="U49" s="37"/>
      <c r="V49" s="37"/>
      <c r="W49" s="43"/>
      <c r="X49" s="37"/>
      <c r="Y49" s="37"/>
      <c r="Z49" s="947"/>
      <c r="AA49" s="37"/>
      <c r="AB49" s="37"/>
      <c r="AC49" s="37"/>
      <c r="AD49" s="37"/>
      <c r="AE49" s="37"/>
      <c r="AF49" s="572"/>
      <c r="AG49" s="963"/>
      <c r="AH49" s="963"/>
      <c r="AI49" s="963"/>
      <c r="AJ49" s="963"/>
      <c r="AK49" s="36">
        <v>11</v>
      </c>
    </row>
    <row r="50" s="36" customFormat="1" ht="11.55" customHeight="1" spans="1:37">
      <c r="A50" s="946"/>
      <c r="B50" s="946"/>
      <c r="C50" s="946"/>
      <c r="D50" s="946"/>
      <c r="E50" s="946"/>
      <c r="F50" s="43"/>
      <c r="G50" s="43"/>
      <c r="N50" s="37"/>
      <c r="P50" s="37"/>
      <c r="Q50" s="43"/>
      <c r="R50" s="43"/>
      <c r="S50" s="37"/>
      <c r="T50" s="37"/>
      <c r="U50" s="37"/>
      <c r="V50" s="37"/>
      <c r="W50" s="43"/>
      <c r="X50" s="37"/>
      <c r="Y50" s="37"/>
      <c r="Z50" s="947"/>
      <c r="AA50" s="37"/>
      <c r="AB50" s="37"/>
      <c r="AC50" s="37"/>
      <c r="AD50" s="37"/>
      <c r="AE50" s="37"/>
      <c r="AF50" s="572"/>
      <c r="AG50" s="963"/>
      <c r="AH50" s="963"/>
      <c r="AI50" s="963"/>
      <c r="AJ50" s="963"/>
      <c r="AK50" s="36">
        <v>11</v>
      </c>
    </row>
    <row r="51" s="36" customFormat="1" ht="11.55" customHeight="1" spans="1:37">
      <c r="A51" s="946"/>
      <c r="B51" s="946"/>
      <c r="C51" s="946"/>
      <c r="D51" s="946"/>
      <c r="E51" s="946"/>
      <c r="F51" s="43"/>
      <c r="G51" s="43"/>
      <c r="N51" s="37"/>
      <c r="P51" s="37"/>
      <c r="Q51" s="43"/>
      <c r="R51" s="43"/>
      <c r="S51" s="37"/>
      <c r="T51" s="37"/>
      <c r="U51" s="37"/>
      <c r="V51" s="37"/>
      <c r="W51" s="43"/>
      <c r="X51" s="37"/>
      <c r="Y51" s="37"/>
      <c r="Z51" s="947"/>
      <c r="AA51" s="37"/>
      <c r="AB51" s="37"/>
      <c r="AC51" s="37"/>
      <c r="AD51" s="37"/>
      <c r="AE51" s="37"/>
      <c r="AF51" s="572"/>
      <c r="AG51" s="963"/>
      <c r="AH51" s="963"/>
      <c r="AI51" s="963"/>
      <c r="AJ51" s="963"/>
      <c r="AK51" s="36">
        <v>11</v>
      </c>
    </row>
    <row r="52" s="36" customFormat="1" ht="11.55" customHeight="1" spans="1:37">
      <c r="A52" s="946"/>
      <c r="B52" s="946"/>
      <c r="C52" s="946"/>
      <c r="D52" s="946"/>
      <c r="E52" s="946"/>
      <c r="F52" s="43"/>
      <c r="G52" s="43"/>
      <c r="N52" s="37"/>
      <c r="P52" s="37"/>
      <c r="Q52" s="43"/>
      <c r="R52" s="43"/>
      <c r="S52" s="37"/>
      <c r="T52" s="37"/>
      <c r="U52" s="37"/>
      <c r="V52" s="37"/>
      <c r="W52" s="43"/>
      <c r="X52" s="37"/>
      <c r="Y52" s="37"/>
      <c r="Z52" s="947"/>
      <c r="AA52" s="37"/>
      <c r="AB52" s="37"/>
      <c r="AC52" s="37"/>
      <c r="AD52" s="37"/>
      <c r="AE52" s="37"/>
      <c r="AF52" s="572"/>
      <c r="AG52" s="963"/>
      <c r="AH52" s="963"/>
      <c r="AI52" s="963"/>
      <c r="AJ52" s="963"/>
      <c r="AK52" s="36">
        <v>11</v>
      </c>
    </row>
    <row r="53" s="36" customFormat="1" ht="11.55" customHeight="1" spans="1:37">
      <c r="A53" s="946"/>
      <c r="B53" s="946"/>
      <c r="C53" s="946"/>
      <c r="D53" s="946"/>
      <c r="E53" s="946"/>
      <c r="F53" s="43"/>
      <c r="G53" s="43"/>
      <c r="N53" s="37"/>
      <c r="P53" s="37"/>
      <c r="Q53" s="43"/>
      <c r="R53" s="43"/>
      <c r="S53" s="37"/>
      <c r="T53" s="37"/>
      <c r="U53" s="37"/>
      <c r="V53" s="37"/>
      <c r="W53" s="43"/>
      <c r="X53" s="37"/>
      <c r="Y53" s="37"/>
      <c r="Z53" s="947"/>
      <c r="AA53" s="37"/>
      <c r="AB53" s="37"/>
      <c r="AC53" s="37"/>
      <c r="AD53" s="37"/>
      <c r="AE53" s="37"/>
      <c r="AF53" s="572"/>
      <c r="AG53" s="963"/>
      <c r="AH53" s="963"/>
      <c r="AI53" s="963"/>
      <c r="AJ53" s="963"/>
      <c r="AK53" s="36">
        <v>11</v>
      </c>
    </row>
    <row r="54" s="36" customFormat="1" ht="11.55" customHeight="1" spans="1:37">
      <c r="A54" s="946"/>
      <c r="B54" s="946"/>
      <c r="C54" s="946"/>
      <c r="D54" s="946"/>
      <c r="E54" s="946"/>
      <c r="F54" s="43"/>
      <c r="G54" s="43"/>
      <c r="N54" s="37"/>
      <c r="P54" s="37"/>
      <c r="Q54" s="43"/>
      <c r="R54" s="43"/>
      <c r="S54" s="37"/>
      <c r="T54" s="37"/>
      <c r="U54" s="37"/>
      <c r="V54" s="37"/>
      <c r="W54" s="43"/>
      <c r="X54" s="37"/>
      <c r="Y54" s="37"/>
      <c r="Z54" s="947"/>
      <c r="AA54" s="37"/>
      <c r="AB54" s="37"/>
      <c r="AC54" s="37"/>
      <c r="AD54" s="37"/>
      <c r="AE54" s="37"/>
      <c r="AF54" s="572"/>
      <c r="AG54" s="963"/>
      <c r="AH54" s="963"/>
      <c r="AI54" s="963"/>
      <c r="AJ54" s="963"/>
      <c r="AK54" s="36">
        <v>11</v>
      </c>
    </row>
    <row r="55" s="36" customFormat="1" ht="11.55" customHeight="1" spans="1:37">
      <c r="A55" s="946"/>
      <c r="B55" s="946"/>
      <c r="C55" s="946"/>
      <c r="D55" s="946"/>
      <c r="E55" s="946"/>
      <c r="F55" s="43"/>
      <c r="G55" s="43"/>
      <c r="N55" s="37"/>
      <c r="P55" s="37"/>
      <c r="Q55" s="43"/>
      <c r="R55" s="43"/>
      <c r="S55" s="37"/>
      <c r="T55" s="37"/>
      <c r="U55" s="37"/>
      <c r="V55" s="37"/>
      <c r="W55" s="43"/>
      <c r="X55" s="37"/>
      <c r="Y55" s="37"/>
      <c r="Z55" s="947"/>
      <c r="AA55" s="37"/>
      <c r="AB55" s="37"/>
      <c r="AC55" s="37"/>
      <c r="AD55" s="37"/>
      <c r="AE55" s="37"/>
      <c r="AF55" s="572"/>
      <c r="AG55" s="963"/>
      <c r="AH55" s="963"/>
      <c r="AI55" s="963"/>
      <c r="AJ55" s="963"/>
      <c r="AK55" s="36">
        <v>11</v>
      </c>
    </row>
    <row r="56" s="36" customFormat="1" ht="11.55" customHeight="1" spans="1:37">
      <c r="A56" s="946"/>
      <c r="B56" s="946"/>
      <c r="C56" s="946"/>
      <c r="D56" s="946"/>
      <c r="E56" s="946"/>
      <c r="F56" s="43"/>
      <c r="G56" s="43"/>
      <c r="N56" s="37"/>
      <c r="P56" s="37"/>
      <c r="Q56" s="43"/>
      <c r="R56" s="43"/>
      <c r="S56" s="37"/>
      <c r="T56" s="37"/>
      <c r="U56" s="37"/>
      <c r="V56" s="37"/>
      <c r="W56" s="43"/>
      <c r="X56" s="37"/>
      <c r="Y56" s="37"/>
      <c r="Z56" s="947"/>
      <c r="AA56" s="37"/>
      <c r="AB56" s="37"/>
      <c r="AC56" s="37"/>
      <c r="AD56" s="37"/>
      <c r="AE56" s="37"/>
      <c r="AF56" s="572"/>
      <c r="AG56" s="963"/>
      <c r="AH56" s="963"/>
      <c r="AI56" s="963"/>
      <c r="AJ56" s="963"/>
      <c r="AK56" s="36">
        <v>11</v>
      </c>
    </row>
    <row r="57" s="36" customFormat="1" ht="11.55" customHeight="1" spans="1:37">
      <c r="A57" s="946"/>
      <c r="B57" s="946"/>
      <c r="C57" s="946"/>
      <c r="D57" s="946"/>
      <c r="E57" s="946"/>
      <c r="F57" s="43"/>
      <c r="G57" s="43"/>
      <c r="N57" s="37"/>
      <c r="P57" s="37"/>
      <c r="Q57" s="43"/>
      <c r="R57" s="43"/>
      <c r="S57" s="37"/>
      <c r="T57" s="37"/>
      <c r="U57" s="37"/>
      <c r="V57" s="37"/>
      <c r="W57" s="43"/>
      <c r="X57" s="37"/>
      <c r="Y57" s="37"/>
      <c r="Z57" s="947"/>
      <c r="AA57" s="37"/>
      <c r="AB57" s="37"/>
      <c r="AC57" s="37"/>
      <c r="AD57" s="37"/>
      <c r="AE57" s="37"/>
      <c r="AF57" s="572"/>
      <c r="AG57" s="963"/>
      <c r="AH57" s="963"/>
      <c r="AI57" s="963"/>
      <c r="AJ57" s="963"/>
      <c r="AK57" s="36">
        <v>11</v>
      </c>
    </row>
    <row r="58" s="36" customFormat="1" ht="11.55" customHeight="1" spans="1:37">
      <c r="A58" s="946"/>
      <c r="B58" s="946"/>
      <c r="C58" s="946"/>
      <c r="D58" s="946"/>
      <c r="E58" s="946"/>
      <c r="F58" s="43"/>
      <c r="G58" s="43"/>
      <c r="N58" s="37"/>
      <c r="P58" s="37"/>
      <c r="Q58" s="43"/>
      <c r="R58" s="43"/>
      <c r="S58" s="37"/>
      <c r="T58" s="37"/>
      <c r="U58" s="37"/>
      <c r="V58" s="37"/>
      <c r="W58" s="43"/>
      <c r="X58" s="37"/>
      <c r="Y58" s="37"/>
      <c r="Z58" s="947"/>
      <c r="AA58" s="37"/>
      <c r="AB58" s="37"/>
      <c r="AC58" s="37"/>
      <c r="AD58" s="37"/>
      <c r="AE58" s="37"/>
      <c r="AF58" s="572"/>
      <c r="AG58" s="963"/>
      <c r="AH58" s="963"/>
      <c r="AI58" s="963"/>
      <c r="AJ58" s="963"/>
      <c r="AK58" s="36">
        <v>11</v>
      </c>
    </row>
    <row r="59" s="36" customFormat="1" ht="11.55" customHeight="1" spans="1:37">
      <c r="A59" s="946"/>
      <c r="B59" s="946"/>
      <c r="C59" s="946"/>
      <c r="D59" s="946"/>
      <c r="E59" s="946"/>
      <c r="F59" s="43"/>
      <c r="G59" s="43"/>
      <c r="N59" s="37"/>
      <c r="P59" s="37"/>
      <c r="Q59" s="43"/>
      <c r="R59" s="43"/>
      <c r="S59" s="37"/>
      <c r="T59" s="37"/>
      <c r="U59" s="37"/>
      <c r="V59" s="37"/>
      <c r="W59" s="43"/>
      <c r="X59" s="37"/>
      <c r="Y59" s="37"/>
      <c r="Z59" s="947"/>
      <c r="AA59" s="37"/>
      <c r="AB59" s="37"/>
      <c r="AC59" s="37"/>
      <c r="AD59" s="37"/>
      <c r="AE59" s="37"/>
      <c r="AF59" s="572"/>
      <c r="AG59" s="963"/>
      <c r="AH59" s="963"/>
      <c r="AI59" s="963"/>
      <c r="AJ59" s="963"/>
      <c r="AK59" s="36">
        <v>11</v>
      </c>
    </row>
    <row r="60" s="36" customFormat="1" ht="11.55" customHeight="1" spans="1:37">
      <c r="A60" s="946"/>
      <c r="B60" s="946"/>
      <c r="C60" s="946"/>
      <c r="D60" s="946"/>
      <c r="E60" s="946"/>
      <c r="F60" s="43"/>
      <c r="G60" s="43"/>
      <c r="N60" s="37"/>
      <c r="P60" s="37"/>
      <c r="Q60" s="43"/>
      <c r="R60" s="43"/>
      <c r="S60" s="37"/>
      <c r="T60" s="37"/>
      <c r="U60" s="37"/>
      <c r="V60" s="37"/>
      <c r="W60" s="43"/>
      <c r="X60" s="37"/>
      <c r="Y60" s="37"/>
      <c r="Z60" s="947"/>
      <c r="AA60" s="37"/>
      <c r="AB60" s="37"/>
      <c r="AC60" s="37"/>
      <c r="AD60" s="37"/>
      <c r="AE60" s="37"/>
      <c r="AF60" s="572"/>
      <c r="AG60" s="963"/>
      <c r="AH60" s="963"/>
      <c r="AI60" s="963"/>
      <c r="AJ60" s="963"/>
      <c r="AK60" s="36">
        <v>11</v>
      </c>
    </row>
    <row r="61" s="36" customFormat="1" ht="11.55" customHeight="1" spans="1:37">
      <c r="A61" s="946"/>
      <c r="B61" s="946"/>
      <c r="C61" s="946"/>
      <c r="D61" s="946"/>
      <c r="E61" s="946"/>
      <c r="F61" s="43"/>
      <c r="G61" s="43"/>
      <c r="N61" s="37"/>
      <c r="P61" s="37"/>
      <c r="Q61" s="43"/>
      <c r="R61" s="43"/>
      <c r="S61" s="37"/>
      <c r="T61" s="37"/>
      <c r="U61" s="37"/>
      <c r="V61" s="37"/>
      <c r="W61" s="43"/>
      <c r="X61" s="37"/>
      <c r="Y61" s="37"/>
      <c r="Z61" s="947"/>
      <c r="AA61" s="37"/>
      <c r="AB61" s="37"/>
      <c r="AC61" s="37"/>
      <c r="AD61" s="37"/>
      <c r="AE61" s="37"/>
      <c r="AF61" s="572"/>
      <c r="AG61" s="963"/>
      <c r="AH61" s="963"/>
      <c r="AI61" s="963"/>
      <c r="AJ61" s="963"/>
      <c r="AK61" s="36">
        <v>11</v>
      </c>
    </row>
    <row r="62" s="36" customFormat="1" ht="11.55" customHeight="1" spans="1:37">
      <c r="A62" s="946"/>
      <c r="B62" s="946"/>
      <c r="C62" s="946"/>
      <c r="D62" s="946"/>
      <c r="E62" s="946"/>
      <c r="F62" s="43"/>
      <c r="G62" s="43"/>
      <c r="N62" s="37"/>
      <c r="P62" s="37"/>
      <c r="Q62" s="43"/>
      <c r="R62" s="43"/>
      <c r="S62" s="37"/>
      <c r="T62" s="37"/>
      <c r="U62" s="37"/>
      <c r="V62" s="37"/>
      <c r="W62" s="43"/>
      <c r="X62" s="37"/>
      <c r="Y62" s="37"/>
      <c r="Z62" s="947"/>
      <c r="AA62" s="37"/>
      <c r="AB62" s="37"/>
      <c r="AC62" s="37"/>
      <c r="AD62" s="37"/>
      <c r="AE62" s="37"/>
      <c r="AF62" s="572"/>
      <c r="AG62" s="963"/>
      <c r="AH62" s="963"/>
      <c r="AI62" s="963"/>
      <c r="AJ62" s="963"/>
      <c r="AK62" s="36">
        <v>11</v>
      </c>
    </row>
    <row r="63" s="36" customFormat="1" ht="11.55" customHeight="1" spans="1:37">
      <c r="A63" s="946"/>
      <c r="B63" s="946"/>
      <c r="C63" s="946"/>
      <c r="D63" s="946"/>
      <c r="E63" s="946"/>
      <c r="F63" s="43"/>
      <c r="G63" s="43"/>
      <c r="N63" s="37"/>
      <c r="P63" s="37"/>
      <c r="Q63" s="43"/>
      <c r="R63" s="43"/>
      <c r="S63" s="37"/>
      <c r="T63" s="37"/>
      <c r="U63" s="37"/>
      <c r="V63" s="37"/>
      <c r="W63" s="43"/>
      <c r="X63" s="37"/>
      <c r="Y63" s="37"/>
      <c r="Z63" s="947"/>
      <c r="AA63" s="37"/>
      <c r="AB63" s="37"/>
      <c r="AC63" s="37"/>
      <c r="AD63" s="37"/>
      <c r="AE63" s="37"/>
      <c r="AF63" s="572"/>
      <c r="AG63" s="963"/>
      <c r="AH63" s="963"/>
      <c r="AI63" s="963"/>
      <c r="AJ63" s="963"/>
      <c r="AK63" s="36">
        <v>11</v>
      </c>
    </row>
    <row r="64" s="36" customFormat="1" ht="11.55" customHeight="1" spans="1:37">
      <c r="A64" s="946"/>
      <c r="B64" s="946"/>
      <c r="C64" s="946"/>
      <c r="D64" s="946"/>
      <c r="E64" s="946"/>
      <c r="F64" s="43"/>
      <c r="G64" s="43"/>
      <c r="N64" s="37"/>
      <c r="P64" s="37"/>
      <c r="Q64" s="43"/>
      <c r="R64" s="43"/>
      <c r="S64" s="37"/>
      <c r="T64" s="37"/>
      <c r="U64" s="37"/>
      <c r="V64" s="37"/>
      <c r="W64" s="43"/>
      <c r="X64" s="37"/>
      <c r="Y64" s="37"/>
      <c r="Z64" s="947"/>
      <c r="AA64" s="37"/>
      <c r="AB64" s="37"/>
      <c r="AC64" s="37"/>
      <c r="AD64" s="37"/>
      <c r="AE64" s="37"/>
      <c r="AF64" s="572"/>
      <c r="AG64" s="963"/>
      <c r="AH64" s="963"/>
      <c r="AI64" s="963"/>
      <c r="AJ64" s="963"/>
      <c r="AK64" s="36">
        <v>11</v>
      </c>
    </row>
    <row r="65" s="36" customFormat="1" ht="11.55" customHeight="1" spans="1:37">
      <c r="A65" s="946"/>
      <c r="B65" s="946"/>
      <c r="C65" s="946"/>
      <c r="D65" s="946"/>
      <c r="E65" s="946"/>
      <c r="F65" s="43"/>
      <c r="G65" s="43"/>
      <c r="N65" s="37"/>
      <c r="P65" s="37"/>
      <c r="Q65" s="43"/>
      <c r="R65" s="43"/>
      <c r="S65" s="37"/>
      <c r="T65" s="37"/>
      <c r="U65" s="37"/>
      <c r="V65" s="37"/>
      <c r="W65" s="43"/>
      <c r="X65" s="37"/>
      <c r="Y65" s="37"/>
      <c r="Z65" s="947"/>
      <c r="AA65" s="37"/>
      <c r="AB65" s="37"/>
      <c r="AC65" s="37"/>
      <c r="AD65" s="37"/>
      <c r="AE65" s="37"/>
      <c r="AF65" s="572"/>
      <c r="AG65" s="963"/>
      <c r="AH65" s="963"/>
      <c r="AI65" s="963"/>
      <c r="AJ65" s="963"/>
      <c r="AK65" s="36">
        <v>11</v>
      </c>
    </row>
    <row r="66" s="36" customFormat="1" ht="11.55" customHeight="1" spans="1:37">
      <c r="A66" s="946"/>
      <c r="B66" s="946"/>
      <c r="C66" s="946"/>
      <c r="D66" s="946"/>
      <c r="E66" s="946"/>
      <c r="F66" s="43"/>
      <c r="G66" s="43"/>
      <c r="N66" s="37"/>
      <c r="P66" s="37"/>
      <c r="Q66" s="43"/>
      <c r="R66" s="43"/>
      <c r="S66" s="37"/>
      <c r="T66" s="37"/>
      <c r="U66" s="37"/>
      <c r="V66" s="37"/>
      <c r="W66" s="43"/>
      <c r="X66" s="37"/>
      <c r="Y66" s="37"/>
      <c r="Z66" s="947"/>
      <c r="AA66" s="37"/>
      <c r="AB66" s="37"/>
      <c r="AC66" s="37"/>
      <c r="AD66" s="37"/>
      <c r="AE66" s="37"/>
      <c r="AF66" s="572"/>
      <c r="AG66" s="963"/>
      <c r="AH66" s="963"/>
      <c r="AI66" s="963"/>
      <c r="AJ66" s="963"/>
      <c r="AK66" s="36">
        <v>11</v>
      </c>
    </row>
    <row r="67" s="36" customFormat="1" ht="11.55" customHeight="1" spans="1:37">
      <c r="A67" s="946"/>
      <c r="B67" s="946"/>
      <c r="C67" s="946"/>
      <c r="D67" s="946"/>
      <c r="E67" s="946"/>
      <c r="F67" s="43"/>
      <c r="G67" s="43"/>
      <c r="N67" s="37"/>
      <c r="P67" s="37"/>
      <c r="Q67" s="43"/>
      <c r="R67" s="43"/>
      <c r="S67" s="37"/>
      <c r="T67" s="37"/>
      <c r="U67" s="37"/>
      <c r="V67" s="37"/>
      <c r="W67" s="43"/>
      <c r="X67" s="37"/>
      <c r="Y67" s="37"/>
      <c r="Z67" s="947"/>
      <c r="AA67" s="37"/>
      <c r="AB67" s="37"/>
      <c r="AC67" s="37"/>
      <c r="AD67" s="37"/>
      <c r="AE67" s="37"/>
      <c r="AF67" s="572"/>
      <c r="AG67" s="963"/>
      <c r="AH67" s="963"/>
      <c r="AI67" s="963"/>
      <c r="AJ67" s="963"/>
      <c r="AK67" s="36">
        <v>11</v>
      </c>
    </row>
    <row r="68" s="36" customFormat="1" ht="11.55" customHeight="1" spans="1:37">
      <c r="A68" s="946"/>
      <c r="B68" s="946"/>
      <c r="C68" s="946"/>
      <c r="D68" s="946"/>
      <c r="E68" s="946"/>
      <c r="F68" s="43"/>
      <c r="G68" s="43"/>
      <c r="N68" s="37"/>
      <c r="P68" s="37"/>
      <c r="Q68" s="43"/>
      <c r="R68" s="43"/>
      <c r="S68" s="37"/>
      <c r="T68" s="37"/>
      <c r="U68" s="37"/>
      <c r="V68" s="37"/>
      <c r="W68" s="43"/>
      <c r="X68" s="37"/>
      <c r="Y68" s="37"/>
      <c r="Z68" s="947"/>
      <c r="AA68" s="37"/>
      <c r="AB68" s="37"/>
      <c r="AC68" s="37"/>
      <c r="AD68" s="37"/>
      <c r="AE68" s="37"/>
      <c r="AF68" s="572"/>
      <c r="AG68" s="963"/>
      <c r="AH68" s="963"/>
      <c r="AI68" s="963"/>
      <c r="AJ68" s="963"/>
      <c r="AK68" s="36">
        <v>11</v>
      </c>
    </row>
    <row r="69" s="36" customFormat="1" ht="11.55" customHeight="1" spans="1:37">
      <c r="A69" s="946"/>
      <c r="B69" s="946"/>
      <c r="C69" s="946"/>
      <c r="D69" s="946"/>
      <c r="E69" s="946"/>
      <c r="F69" s="43"/>
      <c r="G69" s="43"/>
      <c r="N69" s="37"/>
      <c r="P69" s="37"/>
      <c r="Q69" s="43"/>
      <c r="R69" s="43"/>
      <c r="S69" s="37"/>
      <c r="T69" s="37"/>
      <c r="U69" s="37"/>
      <c r="V69" s="37"/>
      <c r="W69" s="43"/>
      <c r="X69" s="37"/>
      <c r="Y69" s="37"/>
      <c r="Z69" s="947"/>
      <c r="AA69" s="37"/>
      <c r="AB69" s="37"/>
      <c r="AC69" s="37"/>
      <c r="AD69" s="37"/>
      <c r="AE69" s="37"/>
      <c r="AF69" s="572"/>
      <c r="AG69" s="963"/>
      <c r="AH69" s="963"/>
      <c r="AI69" s="963"/>
      <c r="AJ69" s="963"/>
      <c r="AK69" s="36">
        <v>11</v>
      </c>
    </row>
    <row r="70" s="36" customFormat="1" ht="11.55" customHeight="1" spans="1:37">
      <c r="A70" s="946"/>
      <c r="B70" s="946"/>
      <c r="C70" s="946"/>
      <c r="D70" s="946"/>
      <c r="E70" s="946"/>
      <c r="F70" s="43"/>
      <c r="G70" s="43"/>
      <c r="N70" s="37"/>
      <c r="P70" s="37"/>
      <c r="Q70" s="43"/>
      <c r="R70" s="43"/>
      <c r="S70" s="37"/>
      <c r="T70" s="37"/>
      <c r="U70" s="37"/>
      <c r="V70" s="37"/>
      <c r="W70" s="43"/>
      <c r="X70" s="37"/>
      <c r="Y70" s="37"/>
      <c r="Z70" s="947"/>
      <c r="AA70" s="37"/>
      <c r="AB70" s="37"/>
      <c r="AC70" s="37"/>
      <c r="AD70" s="37"/>
      <c r="AE70" s="37"/>
      <c r="AF70" s="572"/>
      <c r="AG70" s="963"/>
      <c r="AH70" s="963"/>
      <c r="AI70" s="963"/>
      <c r="AJ70" s="963"/>
      <c r="AK70" s="36">
        <v>11</v>
      </c>
    </row>
    <row r="71" s="36" customFormat="1" ht="11.55" customHeight="1" spans="1:37">
      <c r="A71" s="946"/>
      <c r="B71" s="946"/>
      <c r="C71" s="946"/>
      <c r="D71" s="946"/>
      <c r="E71" s="946"/>
      <c r="F71" s="43"/>
      <c r="G71" s="43"/>
      <c r="N71" s="37"/>
      <c r="P71" s="37"/>
      <c r="Q71" s="43"/>
      <c r="R71" s="43"/>
      <c r="S71" s="37"/>
      <c r="T71" s="37"/>
      <c r="U71" s="37"/>
      <c r="V71" s="37"/>
      <c r="W71" s="43"/>
      <c r="X71" s="37"/>
      <c r="Y71" s="37"/>
      <c r="Z71" s="947"/>
      <c r="AA71" s="37"/>
      <c r="AB71" s="37"/>
      <c r="AC71" s="37"/>
      <c r="AD71" s="37"/>
      <c r="AE71" s="37"/>
      <c r="AF71" s="572"/>
      <c r="AG71" s="963"/>
      <c r="AH71" s="963"/>
      <c r="AI71" s="963"/>
      <c r="AJ71" s="963"/>
      <c r="AK71" s="36">
        <v>11</v>
      </c>
    </row>
    <row r="72" s="36" customFormat="1" ht="11.55" customHeight="1" spans="1:37">
      <c r="A72" s="946"/>
      <c r="B72" s="946"/>
      <c r="C72" s="946"/>
      <c r="D72" s="946"/>
      <c r="E72" s="946"/>
      <c r="F72" s="43"/>
      <c r="G72" s="43"/>
      <c r="N72" s="37"/>
      <c r="P72" s="37"/>
      <c r="Q72" s="43"/>
      <c r="R72" s="43"/>
      <c r="S72" s="37"/>
      <c r="T72" s="37"/>
      <c r="U72" s="37"/>
      <c r="V72" s="37"/>
      <c r="W72" s="43"/>
      <c r="X72" s="37"/>
      <c r="Y72" s="37"/>
      <c r="Z72" s="947"/>
      <c r="AA72" s="37"/>
      <c r="AB72" s="37"/>
      <c r="AC72" s="37"/>
      <c r="AD72" s="37"/>
      <c r="AE72" s="37"/>
      <c r="AF72" s="572"/>
      <c r="AG72" s="963"/>
      <c r="AH72" s="963"/>
      <c r="AI72" s="963"/>
      <c r="AJ72" s="963"/>
      <c r="AK72" s="36">
        <v>11</v>
      </c>
    </row>
    <row r="73" s="36" customFormat="1" ht="11.55" customHeight="1" spans="1:37">
      <c r="A73" s="946"/>
      <c r="B73" s="946"/>
      <c r="C73" s="946"/>
      <c r="D73" s="946"/>
      <c r="E73" s="946"/>
      <c r="F73" s="43"/>
      <c r="G73" s="43"/>
      <c r="N73" s="37"/>
      <c r="P73" s="37"/>
      <c r="Q73" s="43"/>
      <c r="R73" s="43"/>
      <c r="S73" s="37"/>
      <c r="T73" s="37"/>
      <c r="U73" s="37"/>
      <c r="V73" s="37"/>
      <c r="W73" s="43"/>
      <c r="X73" s="37"/>
      <c r="Y73" s="37"/>
      <c r="Z73" s="947"/>
      <c r="AA73" s="37"/>
      <c r="AB73" s="37"/>
      <c r="AC73" s="37"/>
      <c r="AD73" s="37"/>
      <c r="AE73" s="37"/>
      <c r="AF73" s="572"/>
      <c r="AG73" s="963"/>
      <c r="AH73" s="963"/>
      <c r="AI73" s="963"/>
      <c r="AJ73" s="963"/>
      <c r="AK73" s="36">
        <v>11</v>
      </c>
    </row>
    <row r="74" s="36" customFormat="1" ht="11.55" customHeight="1" spans="1:37">
      <c r="A74" s="946"/>
      <c r="B74" s="946"/>
      <c r="C74" s="946"/>
      <c r="D74" s="946"/>
      <c r="E74" s="946"/>
      <c r="F74" s="43"/>
      <c r="G74" s="43"/>
      <c r="N74" s="37"/>
      <c r="P74" s="37"/>
      <c r="Q74" s="43"/>
      <c r="R74" s="43"/>
      <c r="S74" s="37"/>
      <c r="T74" s="37"/>
      <c r="U74" s="37"/>
      <c r="V74" s="37"/>
      <c r="W74" s="43"/>
      <c r="X74" s="37"/>
      <c r="Y74" s="37"/>
      <c r="Z74" s="947"/>
      <c r="AA74" s="37"/>
      <c r="AB74" s="37"/>
      <c r="AC74" s="37"/>
      <c r="AD74" s="37"/>
      <c r="AE74" s="37"/>
      <c r="AF74" s="572"/>
      <c r="AG74" s="963"/>
      <c r="AH74" s="963"/>
      <c r="AI74" s="963"/>
      <c r="AJ74" s="963"/>
      <c r="AK74" s="36">
        <v>11</v>
      </c>
    </row>
    <row r="75" s="36" customFormat="1" ht="11.55" customHeight="1" spans="1:37">
      <c r="A75" s="946"/>
      <c r="B75" s="946"/>
      <c r="C75" s="946"/>
      <c r="D75" s="946"/>
      <c r="E75" s="946"/>
      <c r="F75" s="43"/>
      <c r="G75" s="43"/>
      <c r="N75" s="37"/>
      <c r="P75" s="37"/>
      <c r="Q75" s="43"/>
      <c r="R75" s="43"/>
      <c r="S75" s="37"/>
      <c r="T75" s="37"/>
      <c r="U75" s="37"/>
      <c r="V75" s="37"/>
      <c r="W75" s="43"/>
      <c r="X75" s="37"/>
      <c r="Y75" s="37"/>
      <c r="Z75" s="947"/>
      <c r="AA75" s="37"/>
      <c r="AB75" s="37"/>
      <c r="AC75" s="37"/>
      <c r="AD75" s="37"/>
      <c r="AE75" s="37"/>
      <c r="AF75" s="572"/>
      <c r="AG75" s="963"/>
      <c r="AH75" s="963"/>
      <c r="AI75" s="963"/>
      <c r="AJ75" s="963"/>
      <c r="AK75" s="36">
        <v>11</v>
      </c>
    </row>
    <row r="76" s="36" customFormat="1" ht="11.55" customHeight="1" spans="1:37">
      <c r="A76" s="946"/>
      <c r="B76" s="946"/>
      <c r="C76" s="946"/>
      <c r="D76" s="946"/>
      <c r="E76" s="946"/>
      <c r="F76" s="43"/>
      <c r="G76" s="43"/>
      <c r="N76" s="37"/>
      <c r="P76" s="37"/>
      <c r="Q76" s="43"/>
      <c r="R76" s="43"/>
      <c r="S76" s="37"/>
      <c r="T76" s="37"/>
      <c r="U76" s="37"/>
      <c r="V76" s="37"/>
      <c r="W76" s="43"/>
      <c r="X76" s="37"/>
      <c r="Y76" s="37"/>
      <c r="Z76" s="947"/>
      <c r="AA76" s="37"/>
      <c r="AB76" s="37"/>
      <c r="AC76" s="37"/>
      <c r="AD76" s="37"/>
      <c r="AE76" s="37"/>
      <c r="AF76" s="572"/>
      <c r="AG76" s="963"/>
      <c r="AH76" s="963"/>
      <c r="AI76" s="963"/>
      <c r="AJ76" s="963"/>
      <c r="AK76" s="36">
        <v>11</v>
      </c>
    </row>
    <row r="77" s="36" customFormat="1" ht="11.55" customHeight="1" spans="1:37">
      <c r="A77" s="946"/>
      <c r="B77" s="946"/>
      <c r="C77" s="946"/>
      <c r="D77" s="946"/>
      <c r="E77" s="946"/>
      <c r="F77" s="43"/>
      <c r="G77" s="43"/>
      <c r="N77" s="37"/>
      <c r="P77" s="37"/>
      <c r="Q77" s="43"/>
      <c r="R77" s="43"/>
      <c r="S77" s="37"/>
      <c r="T77" s="37"/>
      <c r="U77" s="37"/>
      <c r="V77" s="37"/>
      <c r="W77" s="43"/>
      <c r="X77" s="37"/>
      <c r="Y77" s="37"/>
      <c r="Z77" s="947"/>
      <c r="AA77" s="37"/>
      <c r="AB77" s="37"/>
      <c r="AC77" s="37"/>
      <c r="AD77" s="37"/>
      <c r="AE77" s="37"/>
      <c r="AF77" s="572"/>
      <c r="AG77" s="963"/>
      <c r="AH77" s="963"/>
      <c r="AI77" s="963"/>
      <c r="AJ77" s="963"/>
      <c r="AK77" s="36">
        <v>11</v>
      </c>
    </row>
    <row r="78" s="36" customFormat="1" ht="11.55" customHeight="1" spans="1:37">
      <c r="A78" s="946"/>
      <c r="B78" s="946"/>
      <c r="C78" s="946"/>
      <c r="D78" s="946"/>
      <c r="E78" s="946"/>
      <c r="F78" s="43"/>
      <c r="G78" s="43"/>
      <c r="N78" s="37"/>
      <c r="P78" s="37"/>
      <c r="Q78" s="43"/>
      <c r="R78" s="43"/>
      <c r="S78" s="37"/>
      <c r="T78" s="37"/>
      <c r="U78" s="37"/>
      <c r="V78" s="37"/>
      <c r="W78" s="43"/>
      <c r="X78" s="37"/>
      <c r="Y78" s="37"/>
      <c r="Z78" s="947"/>
      <c r="AA78" s="37"/>
      <c r="AB78" s="37"/>
      <c r="AC78" s="37"/>
      <c r="AD78" s="37"/>
      <c r="AE78" s="37"/>
      <c r="AF78" s="572"/>
      <c r="AG78" s="963"/>
      <c r="AH78" s="963"/>
      <c r="AI78" s="963"/>
      <c r="AJ78" s="963"/>
      <c r="AK78" s="36">
        <v>11</v>
      </c>
    </row>
    <row r="79" s="36" customFormat="1" ht="11.55" customHeight="1" spans="1:37">
      <c r="A79" s="946"/>
      <c r="B79" s="946"/>
      <c r="C79" s="946"/>
      <c r="D79" s="946"/>
      <c r="E79" s="946"/>
      <c r="F79" s="43"/>
      <c r="G79" s="43"/>
      <c r="N79" s="37"/>
      <c r="P79" s="37"/>
      <c r="Q79" s="43"/>
      <c r="R79" s="43"/>
      <c r="S79" s="37"/>
      <c r="T79" s="37"/>
      <c r="U79" s="37"/>
      <c r="V79" s="37"/>
      <c r="W79" s="43"/>
      <c r="X79" s="37"/>
      <c r="Y79" s="37"/>
      <c r="Z79" s="947"/>
      <c r="AA79" s="37"/>
      <c r="AB79" s="37"/>
      <c r="AC79" s="37"/>
      <c r="AD79" s="37"/>
      <c r="AE79" s="37"/>
      <c r="AF79" s="572"/>
      <c r="AG79" s="963"/>
      <c r="AH79" s="963"/>
      <c r="AI79" s="963"/>
      <c r="AJ79" s="963"/>
      <c r="AK79" s="36">
        <v>11</v>
      </c>
    </row>
    <row r="80" s="36" customFormat="1" ht="11.55" customHeight="1" spans="1:37">
      <c r="A80" s="946"/>
      <c r="B80" s="946"/>
      <c r="C80" s="946"/>
      <c r="D80" s="946"/>
      <c r="E80" s="946"/>
      <c r="F80" s="43"/>
      <c r="G80" s="43"/>
      <c r="N80" s="37"/>
      <c r="P80" s="37"/>
      <c r="Q80" s="43"/>
      <c r="R80" s="43"/>
      <c r="S80" s="37"/>
      <c r="T80" s="37"/>
      <c r="U80" s="37"/>
      <c r="V80" s="37"/>
      <c r="W80" s="43"/>
      <c r="X80" s="37"/>
      <c r="Y80" s="37"/>
      <c r="Z80" s="947"/>
      <c r="AA80" s="37"/>
      <c r="AB80" s="37"/>
      <c r="AC80" s="37"/>
      <c r="AD80" s="37"/>
      <c r="AE80" s="37"/>
      <c r="AF80" s="572"/>
      <c r="AG80" s="963"/>
      <c r="AH80" s="963"/>
      <c r="AI80" s="963"/>
      <c r="AJ80" s="963"/>
      <c r="AK80" s="36">
        <v>11</v>
      </c>
    </row>
    <row r="81" s="36" customFormat="1" ht="11.55" customHeight="1" spans="1:37">
      <c r="A81" s="946"/>
      <c r="B81" s="946"/>
      <c r="C81" s="946"/>
      <c r="D81" s="946"/>
      <c r="E81" s="946"/>
      <c r="F81" s="43"/>
      <c r="G81" s="43"/>
      <c r="N81" s="37"/>
      <c r="P81" s="37"/>
      <c r="Q81" s="43"/>
      <c r="R81" s="43"/>
      <c r="S81" s="37"/>
      <c r="T81" s="37"/>
      <c r="U81" s="37"/>
      <c r="V81" s="37"/>
      <c r="W81" s="43"/>
      <c r="X81" s="37"/>
      <c r="Y81" s="37"/>
      <c r="Z81" s="947"/>
      <c r="AA81" s="37"/>
      <c r="AB81" s="37"/>
      <c r="AC81" s="37"/>
      <c r="AD81" s="37"/>
      <c r="AE81" s="37"/>
      <c r="AF81" s="572"/>
      <c r="AG81" s="963"/>
      <c r="AH81" s="963"/>
      <c r="AI81" s="963"/>
      <c r="AJ81" s="963"/>
      <c r="AK81" s="36">
        <v>11</v>
      </c>
    </row>
    <row r="82" s="36" customFormat="1" ht="11.55" customHeight="1" spans="1:37">
      <c r="A82" s="946"/>
      <c r="B82" s="946"/>
      <c r="C82" s="946"/>
      <c r="D82" s="946"/>
      <c r="E82" s="946"/>
      <c r="F82" s="43"/>
      <c r="G82" s="43"/>
      <c r="N82" s="37"/>
      <c r="P82" s="37"/>
      <c r="Q82" s="43"/>
      <c r="R82" s="43"/>
      <c r="S82" s="37"/>
      <c r="T82" s="37"/>
      <c r="U82" s="37"/>
      <c r="V82" s="37"/>
      <c r="W82" s="43"/>
      <c r="X82" s="37"/>
      <c r="Y82" s="37"/>
      <c r="Z82" s="947"/>
      <c r="AA82" s="37"/>
      <c r="AB82" s="37"/>
      <c r="AC82" s="37"/>
      <c r="AD82" s="37"/>
      <c r="AE82" s="37"/>
      <c r="AF82" s="572"/>
      <c r="AG82" s="963"/>
      <c r="AH82" s="963"/>
      <c r="AI82" s="963"/>
      <c r="AJ82" s="963"/>
      <c r="AK82" s="36">
        <v>11</v>
      </c>
    </row>
    <row r="83" s="36" customFormat="1" ht="11.55" customHeight="1" spans="1:37">
      <c r="A83" s="946"/>
      <c r="B83" s="946"/>
      <c r="C83" s="946"/>
      <c r="D83" s="946"/>
      <c r="E83" s="946"/>
      <c r="F83" s="43"/>
      <c r="G83" s="43"/>
      <c r="N83" s="37"/>
      <c r="P83" s="37"/>
      <c r="Q83" s="43"/>
      <c r="R83" s="43"/>
      <c r="S83" s="37"/>
      <c r="T83" s="37"/>
      <c r="U83" s="37"/>
      <c r="V83" s="37"/>
      <c r="W83" s="43"/>
      <c r="X83" s="37"/>
      <c r="Y83" s="37"/>
      <c r="Z83" s="947"/>
      <c r="AA83" s="37"/>
      <c r="AB83" s="37"/>
      <c r="AC83" s="37"/>
      <c r="AD83" s="37"/>
      <c r="AE83" s="37"/>
      <c r="AF83" s="572"/>
      <c r="AG83" s="963"/>
      <c r="AH83" s="963"/>
      <c r="AI83" s="963"/>
      <c r="AJ83" s="963"/>
      <c r="AK83" s="36">
        <v>11</v>
      </c>
    </row>
    <row r="84" s="36" customFormat="1" ht="11.55" customHeight="1" spans="1:37">
      <c r="A84" s="946"/>
      <c r="B84" s="946"/>
      <c r="C84" s="946"/>
      <c r="D84" s="946"/>
      <c r="E84" s="946"/>
      <c r="F84" s="43"/>
      <c r="G84" s="43"/>
      <c r="N84" s="37"/>
      <c r="P84" s="37"/>
      <c r="Q84" s="43"/>
      <c r="R84" s="43"/>
      <c r="S84" s="37"/>
      <c r="T84" s="37"/>
      <c r="U84" s="37"/>
      <c r="V84" s="37"/>
      <c r="W84" s="43"/>
      <c r="X84" s="37"/>
      <c r="Y84" s="37"/>
      <c r="Z84" s="947"/>
      <c r="AA84" s="37"/>
      <c r="AB84" s="37"/>
      <c r="AC84" s="37"/>
      <c r="AD84" s="37"/>
      <c r="AE84" s="37"/>
      <c r="AF84" s="572"/>
      <c r="AG84" s="963"/>
      <c r="AH84" s="963"/>
      <c r="AI84" s="963"/>
      <c r="AJ84" s="963"/>
      <c r="AK84" s="36">
        <v>11</v>
      </c>
    </row>
    <row r="85" s="36" customFormat="1" ht="11.55" customHeight="1" spans="1:37">
      <c r="A85" s="946"/>
      <c r="B85" s="946"/>
      <c r="C85" s="946"/>
      <c r="D85" s="946"/>
      <c r="E85" s="946"/>
      <c r="F85" s="43"/>
      <c r="G85" s="43"/>
      <c r="N85" s="37"/>
      <c r="P85" s="37"/>
      <c r="Q85" s="43"/>
      <c r="R85" s="43"/>
      <c r="S85" s="37"/>
      <c r="T85" s="37"/>
      <c r="U85" s="37"/>
      <c r="V85" s="37"/>
      <c r="W85" s="43"/>
      <c r="X85" s="37"/>
      <c r="Y85" s="37"/>
      <c r="Z85" s="947"/>
      <c r="AA85" s="37"/>
      <c r="AB85" s="37"/>
      <c r="AC85" s="37"/>
      <c r="AD85" s="37"/>
      <c r="AE85" s="37"/>
      <c r="AF85" s="572"/>
      <c r="AG85" s="963"/>
      <c r="AH85" s="963"/>
      <c r="AI85" s="963"/>
      <c r="AJ85" s="963"/>
      <c r="AK85" s="36">
        <v>11</v>
      </c>
    </row>
    <row r="86" s="36" customFormat="1" ht="11.55" customHeight="1" spans="1:37">
      <c r="A86" s="946"/>
      <c r="B86" s="946"/>
      <c r="C86" s="946"/>
      <c r="D86" s="946"/>
      <c r="E86" s="946"/>
      <c r="F86" s="43"/>
      <c r="G86" s="43"/>
      <c r="N86" s="37"/>
      <c r="P86" s="37"/>
      <c r="Q86" s="43"/>
      <c r="R86" s="43"/>
      <c r="S86" s="37"/>
      <c r="T86" s="37"/>
      <c r="U86" s="37"/>
      <c r="V86" s="37"/>
      <c r="W86" s="43"/>
      <c r="X86" s="37"/>
      <c r="Y86" s="37"/>
      <c r="Z86" s="947"/>
      <c r="AA86" s="37"/>
      <c r="AB86" s="37"/>
      <c r="AC86" s="37"/>
      <c r="AD86" s="37"/>
      <c r="AE86" s="37"/>
      <c r="AF86" s="572"/>
      <c r="AG86" s="963"/>
      <c r="AH86" s="963"/>
      <c r="AI86" s="963"/>
      <c r="AJ86" s="963"/>
      <c r="AK86" s="36">
        <v>11</v>
      </c>
    </row>
    <row r="87" s="36" customFormat="1" ht="11.55" customHeight="1" spans="1:37">
      <c r="A87" s="946"/>
      <c r="B87" s="946"/>
      <c r="C87" s="946"/>
      <c r="D87" s="946"/>
      <c r="E87" s="946"/>
      <c r="F87" s="43"/>
      <c r="G87" s="43"/>
      <c r="N87" s="37"/>
      <c r="P87" s="37"/>
      <c r="Q87" s="43"/>
      <c r="R87" s="43"/>
      <c r="S87" s="37"/>
      <c r="T87" s="37"/>
      <c r="U87" s="37"/>
      <c r="V87" s="37"/>
      <c r="W87" s="43"/>
      <c r="X87" s="37"/>
      <c r="Y87" s="37"/>
      <c r="Z87" s="947"/>
      <c r="AA87" s="37"/>
      <c r="AB87" s="37"/>
      <c r="AC87" s="37"/>
      <c r="AD87" s="37"/>
      <c r="AE87" s="37"/>
      <c r="AF87" s="572"/>
      <c r="AG87" s="963"/>
      <c r="AH87" s="963"/>
      <c r="AI87" s="963"/>
      <c r="AJ87" s="963"/>
      <c r="AK87" s="36">
        <v>11</v>
      </c>
    </row>
    <row r="88" s="36" customFormat="1" ht="11.55" customHeight="1" spans="1:37">
      <c r="A88" s="946"/>
      <c r="B88" s="946"/>
      <c r="C88" s="946"/>
      <c r="D88" s="946"/>
      <c r="E88" s="946"/>
      <c r="F88" s="43"/>
      <c r="G88" s="43"/>
      <c r="N88" s="37"/>
      <c r="P88" s="37"/>
      <c r="Q88" s="43"/>
      <c r="R88" s="43"/>
      <c r="S88" s="37"/>
      <c r="T88" s="37"/>
      <c r="U88" s="37"/>
      <c r="V88" s="37"/>
      <c r="W88" s="43"/>
      <c r="X88" s="37"/>
      <c r="Y88" s="37"/>
      <c r="Z88" s="947"/>
      <c r="AA88" s="37"/>
      <c r="AB88" s="37"/>
      <c r="AC88" s="37"/>
      <c r="AD88" s="37"/>
      <c r="AE88" s="37"/>
      <c r="AF88" s="572"/>
      <c r="AG88" s="963"/>
      <c r="AH88" s="963"/>
      <c r="AI88" s="963"/>
      <c r="AJ88" s="963"/>
      <c r="AK88" s="36">
        <v>11</v>
      </c>
    </row>
    <row r="89" s="36" customFormat="1" ht="11.55" customHeight="1" spans="1:37">
      <c r="A89" s="946"/>
      <c r="B89" s="946"/>
      <c r="C89" s="946"/>
      <c r="D89" s="946"/>
      <c r="E89" s="946"/>
      <c r="F89" s="43"/>
      <c r="G89" s="43"/>
      <c r="N89" s="37"/>
      <c r="P89" s="37"/>
      <c r="Q89" s="43"/>
      <c r="R89" s="43"/>
      <c r="S89" s="37"/>
      <c r="T89" s="37"/>
      <c r="U89" s="37"/>
      <c r="V89" s="37"/>
      <c r="W89" s="43"/>
      <c r="X89" s="37"/>
      <c r="Y89" s="37"/>
      <c r="Z89" s="947"/>
      <c r="AA89" s="37"/>
      <c r="AB89" s="37"/>
      <c r="AC89" s="37"/>
      <c r="AD89" s="37"/>
      <c r="AE89" s="37"/>
      <c r="AF89" s="572"/>
      <c r="AG89" s="963"/>
      <c r="AH89" s="963"/>
      <c r="AI89" s="963"/>
      <c r="AJ89" s="963"/>
      <c r="AK89" s="36">
        <v>11</v>
      </c>
    </row>
    <row r="90" s="36" customFormat="1" ht="11.55" customHeight="1" spans="1:37">
      <c r="A90" s="946"/>
      <c r="B90" s="946"/>
      <c r="C90" s="946"/>
      <c r="D90" s="946"/>
      <c r="E90" s="946"/>
      <c r="F90" s="43"/>
      <c r="G90" s="43"/>
      <c r="N90" s="37"/>
      <c r="P90" s="37"/>
      <c r="Q90" s="43"/>
      <c r="R90" s="43"/>
      <c r="S90" s="37"/>
      <c r="T90" s="37"/>
      <c r="U90" s="37"/>
      <c r="V90" s="37"/>
      <c r="W90" s="43"/>
      <c r="X90" s="37"/>
      <c r="Y90" s="37"/>
      <c r="Z90" s="947"/>
      <c r="AA90" s="37"/>
      <c r="AB90" s="37"/>
      <c r="AC90" s="37"/>
      <c r="AD90" s="37"/>
      <c r="AE90" s="37"/>
      <c r="AF90" s="572"/>
      <c r="AG90" s="963"/>
      <c r="AH90" s="963"/>
      <c r="AI90" s="963"/>
      <c r="AJ90" s="963"/>
      <c r="AK90" s="36">
        <v>11</v>
      </c>
    </row>
    <row r="91" s="36" customFormat="1" ht="11.55" customHeight="1" spans="1:37">
      <c r="A91" s="946"/>
      <c r="B91" s="946"/>
      <c r="C91" s="946"/>
      <c r="D91" s="946"/>
      <c r="E91" s="946"/>
      <c r="F91" s="43"/>
      <c r="G91" s="43"/>
      <c r="N91" s="37"/>
      <c r="P91" s="37"/>
      <c r="Q91" s="43"/>
      <c r="R91" s="43"/>
      <c r="S91" s="37"/>
      <c r="T91" s="37"/>
      <c r="U91" s="37"/>
      <c r="V91" s="37"/>
      <c r="W91" s="43"/>
      <c r="X91" s="37"/>
      <c r="Y91" s="37"/>
      <c r="Z91" s="947"/>
      <c r="AA91" s="37"/>
      <c r="AB91" s="37"/>
      <c r="AC91" s="37"/>
      <c r="AD91" s="37"/>
      <c r="AE91" s="37"/>
      <c r="AF91" s="572"/>
      <c r="AG91" s="963"/>
      <c r="AH91" s="963"/>
      <c r="AI91" s="963"/>
      <c r="AJ91" s="963"/>
      <c r="AK91" s="36">
        <v>11</v>
      </c>
    </row>
    <row r="92" s="36" customFormat="1" ht="11.55" customHeight="1" spans="1:37">
      <c r="A92" s="946"/>
      <c r="B92" s="946"/>
      <c r="C92" s="946"/>
      <c r="D92" s="946"/>
      <c r="E92" s="946"/>
      <c r="F92" s="43"/>
      <c r="G92" s="43"/>
      <c r="N92" s="37"/>
      <c r="P92" s="37"/>
      <c r="Q92" s="43"/>
      <c r="R92" s="43"/>
      <c r="S92" s="37"/>
      <c r="T92" s="37"/>
      <c r="U92" s="37"/>
      <c r="V92" s="37"/>
      <c r="W92" s="43"/>
      <c r="X92" s="37"/>
      <c r="Y92" s="37"/>
      <c r="Z92" s="947"/>
      <c r="AA92" s="37"/>
      <c r="AB92" s="37"/>
      <c r="AC92" s="37"/>
      <c r="AD92" s="37"/>
      <c r="AE92" s="37"/>
      <c r="AF92" s="572"/>
      <c r="AG92" s="963"/>
      <c r="AH92" s="963"/>
      <c r="AI92" s="963"/>
      <c r="AJ92" s="963"/>
      <c r="AK92" s="36">
        <v>11</v>
      </c>
    </row>
    <row r="93" s="36" customFormat="1" ht="11.55" customHeight="1" spans="1:37">
      <c r="A93" s="946"/>
      <c r="B93" s="946"/>
      <c r="C93" s="946"/>
      <c r="D93" s="946"/>
      <c r="E93" s="946"/>
      <c r="F93" s="43"/>
      <c r="G93" s="43"/>
      <c r="N93" s="37"/>
      <c r="P93" s="37"/>
      <c r="Q93" s="43"/>
      <c r="R93" s="43"/>
      <c r="S93" s="37"/>
      <c r="T93" s="37"/>
      <c r="U93" s="37"/>
      <c r="V93" s="37"/>
      <c r="W93" s="43"/>
      <c r="X93" s="37"/>
      <c r="Y93" s="37"/>
      <c r="Z93" s="947"/>
      <c r="AA93" s="37"/>
      <c r="AB93" s="37"/>
      <c r="AC93" s="37"/>
      <c r="AD93" s="37"/>
      <c r="AE93" s="37"/>
      <c r="AF93" s="572"/>
      <c r="AG93" s="963"/>
      <c r="AH93" s="963"/>
      <c r="AI93" s="963"/>
      <c r="AJ93" s="963"/>
      <c r="AK93" s="36">
        <v>11</v>
      </c>
    </row>
    <row r="94" s="36" customFormat="1" ht="11.55" customHeight="1" spans="1:37">
      <c r="A94" s="946"/>
      <c r="B94" s="946"/>
      <c r="C94" s="946"/>
      <c r="D94" s="946"/>
      <c r="E94" s="946"/>
      <c r="F94" s="43"/>
      <c r="G94" s="43"/>
      <c r="N94" s="37"/>
      <c r="P94" s="37"/>
      <c r="Q94" s="43"/>
      <c r="R94" s="43"/>
      <c r="S94" s="37"/>
      <c r="T94" s="37"/>
      <c r="U94" s="37"/>
      <c r="V94" s="37"/>
      <c r="W94" s="43"/>
      <c r="X94" s="37"/>
      <c r="Y94" s="37"/>
      <c r="Z94" s="947"/>
      <c r="AA94" s="37"/>
      <c r="AB94" s="37"/>
      <c r="AC94" s="37"/>
      <c r="AD94" s="37"/>
      <c r="AE94" s="37"/>
      <c r="AF94" s="572"/>
      <c r="AG94" s="963"/>
      <c r="AH94" s="963"/>
      <c r="AI94" s="963"/>
      <c r="AJ94" s="963"/>
      <c r="AK94" s="36">
        <v>11</v>
      </c>
    </row>
    <row r="95" s="36" customFormat="1" ht="11.55" customHeight="1" spans="1:37">
      <c r="A95" s="946"/>
      <c r="B95" s="946"/>
      <c r="C95" s="946"/>
      <c r="D95" s="946"/>
      <c r="E95" s="946"/>
      <c r="F95" s="43"/>
      <c r="G95" s="43"/>
      <c r="N95" s="37"/>
      <c r="P95" s="37"/>
      <c r="Q95" s="43"/>
      <c r="R95" s="43"/>
      <c r="S95" s="37"/>
      <c r="T95" s="37"/>
      <c r="U95" s="37"/>
      <c r="V95" s="37"/>
      <c r="W95" s="43"/>
      <c r="X95" s="37"/>
      <c r="Y95" s="37"/>
      <c r="Z95" s="947"/>
      <c r="AA95" s="37"/>
      <c r="AB95" s="37"/>
      <c r="AC95" s="37"/>
      <c r="AD95" s="37"/>
      <c r="AE95" s="37"/>
      <c r="AF95" s="572"/>
      <c r="AG95" s="963"/>
      <c r="AH95" s="963"/>
      <c r="AI95" s="963"/>
      <c r="AJ95" s="963"/>
      <c r="AK95" s="36">
        <v>11</v>
      </c>
    </row>
    <row r="96" s="36" customFormat="1" ht="11.55" customHeight="1" spans="1:37">
      <c r="A96" s="946"/>
      <c r="B96" s="946"/>
      <c r="C96" s="946"/>
      <c r="D96" s="946"/>
      <c r="E96" s="946"/>
      <c r="F96" s="43"/>
      <c r="G96" s="43"/>
      <c r="N96" s="37"/>
      <c r="P96" s="37"/>
      <c r="Q96" s="43"/>
      <c r="R96" s="43"/>
      <c r="S96" s="37"/>
      <c r="T96" s="37"/>
      <c r="U96" s="37"/>
      <c r="V96" s="37"/>
      <c r="W96" s="43"/>
      <c r="X96" s="37"/>
      <c r="Y96" s="37"/>
      <c r="Z96" s="947"/>
      <c r="AA96" s="37"/>
      <c r="AB96" s="37"/>
      <c r="AC96" s="37"/>
      <c r="AD96" s="37"/>
      <c r="AE96" s="37"/>
      <c r="AF96" s="572"/>
      <c r="AG96" s="963"/>
      <c r="AH96" s="963"/>
      <c r="AI96" s="963"/>
      <c r="AJ96" s="963"/>
      <c r="AK96" s="36">
        <v>11</v>
      </c>
    </row>
    <row r="97" s="36" customFormat="1" ht="11.55" customHeight="1" spans="1:37">
      <c r="A97" s="946"/>
      <c r="B97" s="946"/>
      <c r="C97" s="946"/>
      <c r="D97" s="946"/>
      <c r="E97" s="946"/>
      <c r="F97" s="43"/>
      <c r="G97" s="43"/>
      <c r="N97" s="37"/>
      <c r="P97" s="37"/>
      <c r="Q97" s="43"/>
      <c r="R97" s="43"/>
      <c r="S97" s="37"/>
      <c r="T97" s="37"/>
      <c r="U97" s="37"/>
      <c r="V97" s="37"/>
      <c r="W97" s="43"/>
      <c r="X97" s="37"/>
      <c r="Y97" s="37"/>
      <c r="Z97" s="947"/>
      <c r="AA97" s="37"/>
      <c r="AB97" s="37"/>
      <c r="AC97" s="37"/>
      <c r="AD97" s="37"/>
      <c r="AE97" s="37"/>
      <c r="AF97" s="572"/>
      <c r="AG97" s="963"/>
      <c r="AH97" s="963"/>
      <c r="AI97" s="963"/>
      <c r="AJ97" s="963"/>
      <c r="AK97" s="36">
        <v>11</v>
      </c>
    </row>
    <row r="98" s="36" customFormat="1" ht="11.55" customHeight="1" spans="1:37">
      <c r="A98" s="946"/>
      <c r="B98" s="946"/>
      <c r="C98" s="946"/>
      <c r="D98" s="946"/>
      <c r="E98" s="946"/>
      <c r="F98" s="43"/>
      <c r="G98" s="43"/>
      <c r="N98" s="37"/>
      <c r="P98" s="37"/>
      <c r="Q98" s="43"/>
      <c r="R98" s="43"/>
      <c r="S98" s="37"/>
      <c r="T98" s="37"/>
      <c r="U98" s="37"/>
      <c r="V98" s="37"/>
      <c r="W98" s="43"/>
      <c r="X98" s="37"/>
      <c r="Y98" s="37"/>
      <c r="Z98" s="947"/>
      <c r="AA98" s="37"/>
      <c r="AB98" s="37"/>
      <c r="AC98" s="37"/>
      <c r="AD98" s="37"/>
      <c r="AE98" s="37"/>
      <c r="AF98" s="572"/>
      <c r="AG98" s="963"/>
      <c r="AH98" s="963"/>
      <c r="AI98" s="963"/>
      <c r="AJ98" s="963"/>
      <c r="AK98" s="36">
        <v>11</v>
      </c>
    </row>
    <row r="99" s="36" customFormat="1" ht="11.55" customHeight="1" spans="1:37">
      <c r="A99" s="946"/>
      <c r="B99" s="946"/>
      <c r="C99" s="946"/>
      <c r="D99" s="946"/>
      <c r="E99" s="946"/>
      <c r="F99" s="43"/>
      <c r="G99" s="43"/>
      <c r="N99" s="37"/>
      <c r="P99" s="37"/>
      <c r="Q99" s="43"/>
      <c r="R99" s="43"/>
      <c r="S99" s="37"/>
      <c r="T99" s="37"/>
      <c r="U99" s="37"/>
      <c r="V99" s="37"/>
      <c r="W99" s="43"/>
      <c r="X99" s="37"/>
      <c r="Y99" s="37"/>
      <c r="Z99" s="947"/>
      <c r="AA99" s="37"/>
      <c r="AB99" s="37"/>
      <c r="AC99" s="37"/>
      <c r="AD99" s="37"/>
      <c r="AE99" s="37"/>
      <c r="AF99" s="572"/>
      <c r="AG99" s="963"/>
      <c r="AH99" s="963"/>
      <c r="AI99" s="963"/>
      <c r="AJ99" s="963"/>
      <c r="AK99" s="36">
        <v>11</v>
      </c>
    </row>
    <row r="100" s="36" customFormat="1" ht="11.55" customHeight="1" spans="1:37">
      <c r="A100" s="946"/>
      <c r="B100" s="946"/>
      <c r="C100" s="946"/>
      <c r="D100" s="946"/>
      <c r="E100" s="946"/>
      <c r="F100" s="43"/>
      <c r="G100" s="43"/>
      <c r="N100" s="37"/>
      <c r="P100" s="37"/>
      <c r="Q100" s="43"/>
      <c r="R100" s="43"/>
      <c r="S100" s="37"/>
      <c r="T100" s="37"/>
      <c r="U100" s="37"/>
      <c r="V100" s="37"/>
      <c r="W100" s="43"/>
      <c r="X100" s="37"/>
      <c r="Y100" s="37"/>
      <c r="Z100" s="947"/>
      <c r="AA100" s="37"/>
      <c r="AB100" s="37"/>
      <c r="AC100" s="37"/>
      <c r="AD100" s="37"/>
      <c r="AE100" s="37"/>
      <c r="AF100" s="572"/>
      <c r="AG100" s="963"/>
      <c r="AH100" s="963"/>
      <c r="AI100" s="963"/>
      <c r="AJ100" s="963"/>
      <c r="AK100" s="36">
        <v>11</v>
      </c>
    </row>
    <row r="101" s="36" customFormat="1" ht="11.55" customHeight="1" spans="1:37">
      <c r="A101" s="946"/>
      <c r="B101" s="946"/>
      <c r="C101" s="946"/>
      <c r="D101" s="946"/>
      <c r="E101" s="946"/>
      <c r="F101" s="43"/>
      <c r="G101" s="43"/>
      <c r="N101" s="37"/>
      <c r="P101" s="37"/>
      <c r="Q101" s="43"/>
      <c r="R101" s="43"/>
      <c r="S101" s="37"/>
      <c r="T101" s="37"/>
      <c r="U101" s="37"/>
      <c r="V101" s="37"/>
      <c r="W101" s="43"/>
      <c r="X101" s="37"/>
      <c r="Y101" s="37"/>
      <c r="Z101" s="947"/>
      <c r="AA101" s="37"/>
      <c r="AB101" s="37"/>
      <c r="AC101" s="37"/>
      <c r="AD101" s="37"/>
      <c r="AE101" s="37"/>
      <c r="AF101" s="572"/>
      <c r="AG101" s="963"/>
      <c r="AH101" s="963"/>
      <c r="AI101" s="963"/>
      <c r="AJ101" s="963"/>
      <c r="AK101" s="36">
        <v>11</v>
      </c>
    </row>
    <row r="102" s="36" customFormat="1" ht="11.55" customHeight="1" spans="1:37">
      <c r="A102" s="946"/>
      <c r="B102" s="946"/>
      <c r="C102" s="946"/>
      <c r="D102" s="946"/>
      <c r="E102" s="946"/>
      <c r="F102" s="43"/>
      <c r="G102" s="43"/>
      <c r="N102" s="37"/>
      <c r="P102" s="37"/>
      <c r="Q102" s="43"/>
      <c r="R102" s="43"/>
      <c r="S102" s="37"/>
      <c r="T102" s="37"/>
      <c r="U102" s="37"/>
      <c r="V102" s="37"/>
      <c r="W102" s="43"/>
      <c r="X102" s="37"/>
      <c r="Y102" s="37"/>
      <c r="Z102" s="947"/>
      <c r="AA102" s="37"/>
      <c r="AB102" s="37"/>
      <c r="AC102" s="37"/>
      <c r="AD102" s="37"/>
      <c r="AE102" s="37"/>
      <c r="AF102" s="572"/>
      <c r="AG102" s="963"/>
      <c r="AH102" s="963"/>
      <c r="AI102" s="963"/>
      <c r="AJ102" s="963"/>
      <c r="AK102" s="36">
        <v>11</v>
      </c>
    </row>
    <row r="103" s="36" customFormat="1" ht="11.55" customHeight="1" spans="1:37">
      <c r="A103" s="946"/>
      <c r="B103" s="946"/>
      <c r="C103" s="946"/>
      <c r="D103" s="946"/>
      <c r="E103" s="946"/>
      <c r="F103" s="43"/>
      <c r="G103" s="43"/>
      <c r="N103" s="37"/>
      <c r="P103" s="37"/>
      <c r="Q103" s="43"/>
      <c r="R103" s="43"/>
      <c r="S103" s="37"/>
      <c r="T103" s="37"/>
      <c r="U103" s="37"/>
      <c r="V103" s="37"/>
      <c r="W103" s="43"/>
      <c r="X103" s="37"/>
      <c r="Y103" s="37"/>
      <c r="Z103" s="947"/>
      <c r="AA103" s="37"/>
      <c r="AB103" s="37"/>
      <c r="AC103" s="37"/>
      <c r="AD103" s="37"/>
      <c r="AE103" s="37"/>
      <c r="AF103" s="572"/>
      <c r="AG103" s="963"/>
      <c r="AH103" s="963"/>
      <c r="AI103" s="963"/>
      <c r="AJ103" s="963"/>
      <c r="AK103" s="36">
        <v>11</v>
      </c>
    </row>
    <row r="104" s="36" customFormat="1" ht="11.55" customHeight="1" spans="1:37">
      <c r="A104" s="946"/>
      <c r="B104" s="946"/>
      <c r="C104" s="946"/>
      <c r="D104" s="946"/>
      <c r="E104" s="946"/>
      <c r="F104" s="43"/>
      <c r="G104" s="43"/>
      <c r="N104" s="37"/>
      <c r="P104" s="37"/>
      <c r="Q104" s="43"/>
      <c r="R104" s="43"/>
      <c r="S104" s="37"/>
      <c r="T104" s="37"/>
      <c r="U104" s="37"/>
      <c r="V104" s="37"/>
      <c r="W104" s="43"/>
      <c r="X104" s="37"/>
      <c r="Y104" s="37"/>
      <c r="Z104" s="947"/>
      <c r="AA104" s="37"/>
      <c r="AB104" s="37"/>
      <c r="AC104" s="37"/>
      <c r="AD104" s="37"/>
      <c r="AE104" s="37"/>
      <c r="AF104" s="572"/>
      <c r="AG104" s="963"/>
      <c r="AH104" s="963"/>
      <c r="AI104" s="963"/>
      <c r="AJ104" s="963"/>
      <c r="AK104" s="36">
        <v>11</v>
      </c>
    </row>
    <row r="105" s="36" customFormat="1" ht="11.55" customHeight="1" spans="1:37">
      <c r="A105" s="946"/>
      <c r="B105" s="946"/>
      <c r="C105" s="946"/>
      <c r="D105" s="946"/>
      <c r="E105" s="946"/>
      <c r="F105" s="43"/>
      <c r="G105" s="43"/>
      <c r="N105" s="37"/>
      <c r="P105" s="37"/>
      <c r="Q105" s="43"/>
      <c r="R105" s="43"/>
      <c r="S105" s="37"/>
      <c r="T105" s="37"/>
      <c r="U105" s="37"/>
      <c r="V105" s="37"/>
      <c r="W105" s="43"/>
      <c r="X105" s="37"/>
      <c r="Y105" s="37"/>
      <c r="Z105" s="947"/>
      <c r="AA105" s="37"/>
      <c r="AB105" s="37"/>
      <c r="AC105" s="37"/>
      <c r="AD105" s="37"/>
      <c r="AE105" s="37"/>
      <c r="AF105" s="572"/>
      <c r="AG105" s="963"/>
      <c r="AH105" s="963"/>
      <c r="AI105" s="963"/>
      <c r="AJ105" s="963"/>
      <c r="AK105" s="36">
        <v>11</v>
      </c>
    </row>
    <row r="106" s="36" customFormat="1" ht="11.55" customHeight="1" spans="1:37">
      <c r="A106" s="946"/>
      <c r="B106" s="946"/>
      <c r="C106" s="946"/>
      <c r="D106" s="946"/>
      <c r="E106" s="946"/>
      <c r="F106" s="43"/>
      <c r="G106" s="43"/>
      <c r="N106" s="37"/>
      <c r="P106" s="37"/>
      <c r="Q106" s="43"/>
      <c r="R106" s="43"/>
      <c r="S106" s="37"/>
      <c r="T106" s="37"/>
      <c r="U106" s="37"/>
      <c r="V106" s="37"/>
      <c r="W106" s="43"/>
      <c r="X106" s="37"/>
      <c r="Y106" s="37"/>
      <c r="Z106" s="947"/>
      <c r="AA106" s="37"/>
      <c r="AB106" s="37"/>
      <c r="AC106" s="37"/>
      <c r="AD106" s="37"/>
      <c r="AE106" s="37"/>
      <c r="AF106" s="572"/>
      <c r="AG106" s="963"/>
      <c r="AH106" s="963"/>
      <c r="AI106" s="963"/>
      <c r="AJ106" s="963"/>
      <c r="AK106" s="36">
        <v>11</v>
      </c>
    </row>
    <row r="107" s="36" customFormat="1" ht="11.55" customHeight="1" spans="1:37">
      <c r="A107" s="946"/>
      <c r="B107" s="946"/>
      <c r="C107" s="946"/>
      <c r="D107" s="946"/>
      <c r="E107" s="946"/>
      <c r="F107" s="43"/>
      <c r="G107" s="43"/>
      <c r="N107" s="37"/>
      <c r="P107" s="37"/>
      <c r="Q107" s="43"/>
      <c r="R107" s="43"/>
      <c r="S107" s="37"/>
      <c r="T107" s="37"/>
      <c r="U107" s="37"/>
      <c r="V107" s="37"/>
      <c r="W107" s="43"/>
      <c r="X107" s="37"/>
      <c r="Y107" s="37"/>
      <c r="Z107" s="947"/>
      <c r="AA107" s="37"/>
      <c r="AB107" s="37"/>
      <c r="AC107" s="37"/>
      <c r="AD107" s="37"/>
      <c r="AE107" s="37"/>
      <c r="AF107" s="572"/>
      <c r="AG107" s="963"/>
      <c r="AH107" s="963"/>
      <c r="AI107" s="963"/>
      <c r="AJ107" s="963"/>
      <c r="AK107" s="36">
        <v>11</v>
      </c>
    </row>
    <row r="108" s="36" customFormat="1" ht="11.55" customHeight="1" spans="1:37">
      <c r="A108" s="946"/>
      <c r="B108" s="946"/>
      <c r="C108" s="946"/>
      <c r="D108" s="946"/>
      <c r="E108" s="946"/>
      <c r="F108" s="43"/>
      <c r="G108" s="43"/>
      <c r="N108" s="37"/>
      <c r="P108" s="37"/>
      <c r="Q108" s="43"/>
      <c r="R108" s="43"/>
      <c r="S108" s="37"/>
      <c r="T108" s="37"/>
      <c r="U108" s="37"/>
      <c r="V108" s="37"/>
      <c r="W108" s="43"/>
      <c r="X108" s="37"/>
      <c r="Y108" s="37"/>
      <c r="Z108" s="947"/>
      <c r="AA108" s="37"/>
      <c r="AB108" s="37"/>
      <c r="AC108" s="37"/>
      <c r="AD108" s="37"/>
      <c r="AE108" s="37"/>
      <c r="AF108" s="572"/>
      <c r="AG108" s="963"/>
      <c r="AH108" s="963"/>
      <c r="AI108" s="963"/>
      <c r="AJ108" s="963"/>
      <c r="AK108" s="36">
        <v>11</v>
      </c>
    </row>
    <row r="109" s="36" customFormat="1" ht="11.55" customHeight="1" spans="1:37">
      <c r="A109" s="946"/>
      <c r="B109" s="946"/>
      <c r="C109" s="946"/>
      <c r="D109" s="946"/>
      <c r="E109" s="946"/>
      <c r="F109" s="43"/>
      <c r="G109" s="43"/>
      <c r="N109" s="37"/>
      <c r="P109" s="37"/>
      <c r="Q109" s="43"/>
      <c r="R109" s="43"/>
      <c r="S109" s="37"/>
      <c r="T109" s="37"/>
      <c r="U109" s="37"/>
      <c r="V109" s="37"/>
      <c r="W109" s="43"/>
      <c r="X109" s="37"/>
      <c r="Y109" s="37"/>
      <c r="Z109" s="947"/>
      <c r="AA109" s="37"/>
      <c r="AB109" s="37"/>
      <c r="AC109" s="37"/>
      <c r="AD109" s="37"/>
      <c r="AE109" s="37"/>
      <c r="AF109" s="572"/>
      <c r="AG109" s="963"/>
      <c r="AH109" s="963"/>
      <c r="AI109" s="963"/>
      <c r="AJ109" s="963"/>
      <c r="AK109" s="36">
        <v>11</v>
      </c>
    </row>
    <row r="110" s="36" customFormat="1" ht="11.55" customHeight="1" spans="1:37">
      <c r="A110" s="946"/>
      <c r="B110" s="946"/>
      <c r="C110" s="946"/>
      <c r="D110" s="946"/>
      <c r="E110" s="946"/>
      <c r="F110" s="43"/>
      <c r="G110" s="43"/>
      <c r="N110" s="37"/>
      <c r="P110" s="37"/>
      <c r="Q110" s="43"/>
      <c r="R110" s="43"/>
      <c r="S110" s="37"/>
      <c r="T110" s="37"/>
      <c r="U110" s="37"/>
      <c r="V110" s="37"/>
      <c r="W110" s="43"/>
      <c r="X110" s="37"/>
      <c r="Y110" s="37"/>
      <c r="Z110" s="947"/>
      <c r="AA110" s="37"/>
      <c r="AB110" s="37"/>
      <c r="AC110" s="37"/>
      <c r="AD110" s="37"/>
      <c r="AE110" s="37"/>
      <c r="AF110" s="572"/>
      <c r="AG110" s="963"/>
      <c r="AH110" s="963"/>
      <c r="AI110" s="963"/>
      <c r="AJ110" s="963"/>
      <c r="AK110" s="36">
        <v>11</v>
      </c>
    </row>
    <row r="111" s="36" customFormat="1" ht="11.55" customHeight="1" spans="1:37">
      <c r="A111" s="946"/>
      <c r="B111" s="946"/>
      <c r="C111" s="946"/>
      <c r="D111" s="946"/>
      <c r="E111" s="946"/>
      <c r="F111" s="43"/>
      <c r="G111" s="43"/>
      <c r="N111" s="37"/>
      <c r="P111" s="37"/>
      <c r="Q111" s="43"/>
      <c r="R111" s="43"/>
      <c r="S111" s="37"/>
      <c r="T111" s="37"/>
      <c r="U111" s="37"/>
      <c r="V111" s="37"/>
      <c r="W111" s="43"/>
      <c r="X111" s="37"/>
      <c r="Y111" s="37"/>
      <c r="Z111" s="947"/>
      <c r="AA111" s="37"/>
      <c r="AB111" s="37"/>
      <c r="AC111" s="37"/>
      <c r="AD111" s="37"/>
      <c r="AE111" s="37"/>
      <c r="AF111" s="572"/>
      <c r="AG111" s="963"/>
      <c r="AH111" s="963"/>
      <c r="AI111" s="963"/>
      <c r="AJ111" s="963"/>
      <c r="AK111" s="36">
        <v>11</v>
      </c>
    </row>
    <row r="112" s="36" customFormat="1" ht="11.55" customHeight="1" spans="1:37">
      <c r="A112" s="946"/>
      <c r="B112" s="946"/>
      <c r="C112" s="946"/>
      <c r="D112" s="946"/>
      <c r="E112" s="946"/>
      <c r="F112" s="43"/>
      <c r="G112" s="43"/>
      <c r="N112" s="37"/>
      <c r="P112" s="37"/>
      <c r="Q112" s="43"/>
      <c r="R112" s="43"/>
      <c r="S112" s="37"/>
      <c r="T112" s="37"/>
      <c r="U112" s="37"/>
      <c r="V112" s="37"/>
      <c r="W112" s="43"/>
      <c r="X112" s="37"/>
      <c r="Y112" s="37"/>
      <c r="Z112" s="947"/>
      <c r="AA112" s="37"/>
      <c r="AB112" s="37"/>
      <c r="AC112" s="37"/>
      <c r="AD112" s="37"/>
      <c r="AE112" s="37"/>
      <c r="AF112" s="572"/>
      <c r="AG112" s="963"/>
      <c r="AH112" s="963"/>
      <c r="AI112" s="963"/>
      <c r="AJ112" s="963"/>
      <c r="AK112" s="36">
        <v>11</v>
      </c>
    </row>
    <row r="113" s="36" customFormat="1" ht="11.55" customHeight="1" spans="1:37">
      <c r="A113" s="946"/>
      <c r="B113" s="946"/>
      <c r="C113" s="946"/>
      <c r="D113" s="946"/>
      <c r="E113" s="946"/>
      <c r="F113" s="43"/>
      <c r="G113" s="43"/>
      <c r="N113" s="37"/>
      <c r="P113" s="37"/>
      <c r="Q113" s="43"/>
      <c r="R113" s="43"/>
      <c r="S113" s="37"/>
      <c r="T113" s="37"/>
      <c r="U113" s="37"/>
      <c r="V113" s="37"/>
      <c r="W113" s="43"/>
      <c r="X113" s="37"/>
      <c r="Y113" s="37"/>
      <c r="Z113" s="947"/>
      <c r="AA113" s="37"/>
      <c r="AB113" s="37"/>
      <c r="AC113" s="37"/>
      <c r="AD113" s="37"/>
      <c r="AE113" s="37"/>
      <c r="AF113" s="572"/>
      <c r="AG113" s="963"/>
      <c r="AH113" s="963"/>
      <c r="AI113" s="963"/>
      <c r="AJ113" s="963"/>
      <c r="AK113" s="36">
        <v>11</v>
      </c>
    </row>
    <row r="114" s="36" customFormat="1" ht="11.55" customHeight="1" spans="1:37">
      <c r="A114" s="946"/>
      <c r="B114" s="946"/>
      <c r="C114" s="946"/>
      <c r="D114" s="946"/>
      <c r="E114" s="946"/>
      <c r="F114" s="43"/>
      <c r="G114" s="43"/>
      <c r="N114" s="37"/>
      <c r="P114" s="37"/>
      <c r="Q114" s="43"/>
      <c r="R114" s="43"/>
      <c r="S114" s="37"/>
      <c r="T114" s="37"/>
      <c r="U114" s="37"/>
      <c r="V114" s="37"/>
      <c r="W114" s="43"/>
      <c r="X114" s="37"/>
      <c r="Y114" s="37"/>
      <c r="Z114" s="947"/>
      <c r="AA114" s="37"/>
      <c r="AB114" s="37"/>
      <c r="AC114" s="37"/>
      <c r="AD114" s="37"/>
      <c r="AE114" s="37"/>
      <c r="AF114" s="572"/>
      <c r="AG114" s="963"/>
      <c r="AH114" s="963"/>
      <c r="AI114" s="963"/>
      <c r="AJ114" s="963"/>
      <c r="AK114" s="36">
        <v>11</v>
      </c>
    </row>
    <row r="115" s="36" customFormat="1" ht="11.55" customHeight="1" spans="1:37">
      <c r="A115" s="946"/>
      <c r="B115" s="946"/>
      <c r="C115" s="946"/>
      <c r="D115" s="946"/>
      <c r="E115" s="946"/>
      <c r="F115" s="43"/>
      <c r="G115" s="43"/>
      <c r="N115" s="37"/>
      <c r="P115" s="37"/>
      <c r="Q115" s="43"/>
      <c r="R115" s="43"/>
      <c r="S115" s="37"/>
      <c r="T115" s="37"/>
      <c r="U115" s="37"/>
      <c r="V115" s="37"/>
      <c r="W115" s="43"/>
      <c r="X115" s="37"/>
      <c r="Y115" s="37"/>
      <c r="Z115" s="947"/>
      <c r="AA115" s="37"/>
      <c r="AB115" s="37"/>
      <c r="AC115" s="37"/>
      <c r="AD115" s="37"/>
      <c r="AE115" s="37"/>
      <c r="AF115" s="572"/>
      <c r="AG115" s="963"/>
      <c r="AH115" s="963"/>
      <c r="AI115" s="963"/>
      <c r="AJ115" s="963"/>
      <c r="AK115" s="36">
        <v>11</v>
      </c>
    </row>
    <row r="116" s="36" customFormat="1" ht="11.55" customHeight="1" spans="1:37">
      <c r="A116" s="946"/>
      <c r="B116" s="946"/>
      <c r="C116" s="946"/>
      <c r="D116" s="946"/>
      <c r="E116" s="946"/>
      <c r="F116" s="43"/>
      <c r="G116" s="43"/>
      <c r="N116" s="37"/>
      <c r="P116" s="37"/>
      <c r="Q116" s="43"/>
      <c r="R116" s="43"/>
      <c r="S116" s="37"/>
      <c r="T116" s="37"/>
      <c r="U116" s="37"/>
      <c r="V116" s="37"/>
      <c r="W116" s="43"/>
      <c r="X116" s="37"/>
      <c r="Y116" s="37"/>
      <c r="Z116" s="947"/>
      <c r="AA116" s="37"/>
      <c r="AB116" s="37"/>
      <c r="AC116" s="37"/>
      <c r="AD116" s="37"/>
      <c r="AE116" s="37"/>
      <c r="AF116" s="572"/>
      <c r="AG116" s="963"/>
      <c r="AH116" s="963"/>
      <c r="AI116" s="963"/>
      <c r="AJ116" s="963"/>
      <c r="AK116" s="36">
        <v>11</v>
      </c>
    </row>
    <row r="117" s="36" customFormat="1" ht="11.55" customHeight="1" spans="1:37">
      <c r="A117" s="946"/>
      <c r="B117" s="946"/>
      <c r="C117" s="946"/>
      <c r="D117" s="946"/>
      <c r="E117" s="946"/>
      <c r="F117" s="43"/>
      <c r="G117" s="43"/>
      <c r="N117" s="37"/>
      <c r="P117" s="37"/>
      <c r="Q117" s="43"/>
      <c r="R117" s="43"/>
      <c r="S117" s="37"/>
      <c r="T117" s="37"/>
      <c r="U117" s="37"/>
      <c r="V117" s="37"/>
      <c r="W117" s="43"/>
      <c r="X117" s="37"/>
      <c r="Y117" s="37"/>
      <c r="Z117" s="947"/>
      <c r="AA117" s="37"/>
      <c r="AB117" s="37"/>
      <c r="AC117" s="37"/>
      <c r="AD117" s="37"/>
      <c r="AE117" s="37"/>
      <c r="AF117" s="572"/>
      <c r="AG117" s="963"/>
      <c r="AH117" s="963"/>
      <c r="AI117" s="963"/>
      <c r="AJ117" s="963"/>
      <c r="AK117" s="36">
        <v>11</v>
      </c>
    </row>
    <row r="118" s="36" customFormat="1" ht="11.55" customHeight="1" spans="1:37">
      <c r="A118" s="946"/>
      <c r="B118" s="946"/>
      <c r="C118" s="946"/>
      <c r="D118" s="946"/>
      <c r="E118" s="946"/>
      <c r="F118" s="43"/>
      <c r="G118" s="43"/>
      <c r="N118" s="37"/>
      <c r="P118" s="37"/>
      <c r="Q118" s="43"/>
      <c r="R118" s="43"/>
      <c r="S118" s="37"/>
      <c r="T118" s="37"/>
      <c r="U118" s="37"/>
      <c r="V118" s="37"/>
      <c r="W118" s="43"/>
      <c r="X118" s="37"/>
      <c r="Y118" s="37"/>
      <c r="Z118" s="947"/>
      <c r="AA118" s="37"/>
      <c r="AB118" s="37"/>
      <c r="AC118" s="37"/>
      <c r="AD118" s="37"/>
      <c r="AE118" s="37"/>
      <c r="AF118" s="572"/>
      <c r="AG118" s="963"/>
      <c r="AH118" s="963"/>
      <c r="AI118" s="963"/>
      <c r="AJ118" s="963"/>
      <c r="AK118" s="36">
        <v>11</v>
      </c>
    </row>
    <row r="119" s="36" customFormat="1" ht="11.55" customHeight="1" spans="1:37">
      <c r="A119" s="946"/>
      <c r="B119" s="946"/>
      <c r="C119" s="946"/>
      <c r="D119" s="946"/>
      <c r="E119" s="946"/>
      <c r="F119" s="43"/>
      <c r="G119" s="43"/>
      <c r="N119" s="37"/>
      <c r="P119" s="37"/>
      <c r="Q119" s="43"/>
      <c r="R119" s="43"/>
      <c r="S119" s="37"/>
      <c r="T119" s="37"/>
      <c r="U119" s="37"/>
      <c r="V119" s="37"/>
      <c r="W119" s="43"/>
      <c r="X119" s="37"/>
      <c r="Y119" s="37"/>
      <c r="Z119" s="947"/>
      <c r="AA119" s="37"/>
      <c r="AB119" s="37"/>
      <c r="AC119" s="37"/>
      <c r="AD119" s="37"/>
      <c r="AE119" s="37"/>
      <c r="AF119" s="572"/>
      <c r="AG119" s="963"/>
      <c r="AH119" s="963"/>
      <c r="AI119" s="963"/>
      <c r="AJ119" s="963"/>
      <c r="AK119" s="36">
        <v>11</v>
      </c>
    </row>
    <row r="120" s="36" customFormat="1" ht="11.55" customHeight="1" spans="1:37">
      <c r="A120" s="946"/>
      <c r="B120" s="946"/>
      <c r="C120" s="946"/>
      <c r="D120" s="946"/>
      <c r="E120" s="946"/>
      <c r="F120" s="43"/>
      <c r="G120" s="43"/>
      <c r="N120" s="37"/>
      <c r="P120" s="37"/>
      <c r="Q120" s="43"/>
      <c r="R120" s="43"/>
      <c r="S120" s="37"/>
      <c r="T120" s="37"/>
      <c r="U120" s="37"/>
      <c r="V120" s="37"/>
      <c r="W120" s="43"/>
      <c r="X120" s="37"/>
      <c r="Y120" s="37"/>
      <c r="Z120" s="947"/>
      <c r="AA120" s="37"/>
      <c r="AB120" s="37"/>
      <c r="AC120" s="37"/>
      <c r="AD120" s="37"/>
      <c r="AE120" s="37"/>
      <c r="AF120" s="572"/>
      <c r="AG120" s="963"/>
      <c r="AH120" s="963"/>
      <c r="AI120" s="963"/>
      <c r="AJ120" s="963"/>
      <c r="AK120" s="36">
        <v>11</v>
      </c>
    </row>
    <row r="121" s="36" customFormat="1" ht="11.55" customHeight="1" spans="1:37">
      <c r="A121" s="946"/>
      <c r="B121" s="946"/>
      <c r="C121" s="946"/>
      <c r="D121" s="946"/>
      <c r="E121" s="946"/>
      <c r="F121" s="43"/>
      <c r="G121" s="43"/>
      <c r="N121" s="37"/>
      <c r="P121" s="37"/>
      <c r="Q121" s="43"/>
      <c r="R121" s="43"/>
      <c r="S121" s="37"/>
      <c r="T121" s="37"/>
      <c r="U121" s="37"/>
      <c r="V121" s="37"/>
      <c r="W121" s="43"/>
      <c r="X121" s="37"/>
      <c r="Y121" s="37"/>
      <c r="Z121" s="947"/>
      <c r="AA121" s="37"/>
      <c r="AB121" s="37"/>
      <c r="AC121" s="37"/>
      <c r="AD121" s="37"/>
      <c r="AE121" s="37"/>
      <c r="AF121" s="572"/>
      <c r="AG121" s="963"/>
      <c r="AH121" s="963"/>
      <c r="AI121" s="963"/>
      <c r="AJ121" s="963"/>
      <c r="AK121" s="36">
        <v>11</v>
      </c>
    </row>
    <row r="122" s="36" customFormat="1" ht="11.55" customHeight="1" spans="1:37">
      <c r="A122" s="946"/>
      <c r="B122" s="946"/>
      <c r="C122" s="946"/>
      <c r="D122" s="946"/>
      <c r="E122" s="946"/>
      <c r="F122" s="43"/>
      <c r="G122" s="43"/>
      <c r="N122" s="37"/>
      <c r="P122" s="37"/>
      <c r="Q122" s="43"/>
      <c r="R122" s="43"/>
      <c r="S122" s="37"/>
      <c r="T122" s="37"/>
      <c r="U122" s="37"/>
      <c r="V122" s="37"/>
      <c r="W122" s="43"/>
      <c r="X122" s="37"/>
      <c r="Y122" s="37"/>
      <c r="Z122" s="947"/>
      <c r="AA122" s="37"/>
      <c r="AB122" s="37"/>
      <c r="AC122" s="37"/>
      <c r="AD122" s="37"/>
      <c r="AE122" s="37"/>
      <c r="AF122" s="572"/>
      <c r="AG122" s="963"/>
      <c r="AH122" s="963"/>
      <c r="AI122" s="963"/>
      <c r="AJ122" s="963"/>
      <c r="AK122" s="36">
        <v>11</v>
      </c>
    </row>
    <row r="123" s="36" customFormat="1" ht="11.55" customHeight="1" spans="1:37">
      <c r="A123" s="946"/>
      <c r="B123" s="946"/>
      <c r="C123" s="946"/>
      <c r="D123" s="946"/>
      <c r="E123" s="946"/>
      <c r="F123" s="43"/>
      <c r="G123" s="43"/>
      <c r="N123" s="37"/>
      <c r="P123" s="37"/>
      <c r="Q123" s="43"/>
      <c r="R123" s="43"/>
      <c r="S123" s="37"/>
      <c r="T123" s="37"/>
      <c r="U123" s="37"/>
      <c r="V123" s="37"/>
      <c r="W123" s="43"/>
      <c r="X123" s="37"/>
      <c r="Y123" s="37"/>
      <c r="Z123" s="947"/>
      <c r="AA123" s="37"/>
      <c r="AB123" s="37"/>
      <c r="AC123" s="37"/>
      <c r="AD123" s="37"/>
      <c r="AE123" s="37"/>
      <c r="AF123" s="572"/>
      <c r="AG123" s="963"/>
      <c r="AH123" s="963"/>
      <c r="AI123" s="963"/>
      <c r="AJ123" s="963"/>
      <c r="AK123" s="36">
        <v>11</v>
      </c>
    </row>
    <row r="124" s="36" customFormat="1" ht="11.55" customHeight="1" spans="1:37">
      <c r="A124" s="946"/>
      <c r="B124" s="946"/>
      <c r="C124" s="946"/>
      <c r="D124" s="946"/>
      <c r="E124" s="946"/>
      <c r="F124" s="43"/>
      <c r="G124" s="43"/>
      <c r="N124" s="37"/>
      <c r="P124" s="37"/>
      <c r="Q124" s="43"/>
      <c r="R124" s="43"/>
      <c r="S124" s="37"/>
      <c r="T124" s="37"/>
      <c r="U124" s="37"/>
      <c r="V124" s="37"/>
      <c r="W124" s="43"/>
      <c r="X124" s="37"/>
      <c r="Y124" s="37"/>
      <c r="Z124" s="947"/>
      <c r="AA124" s="37"/>
      <c r="AB124" s="37"/>
      <c r="AC124" s="37"/>
      <c r="AD124" s="37"/>
      <c r="AE124" s="37"/>
      <c r="AF124" s="572"/>
      <c r="AG124" s="963"/>
      <c r="AH124" s="963"/>
      <c r="AI124" s="963"/>
      <c r="AJ124" s="963"/>
      <c r="AK124" s="36">
        <v>11</v>
      </c>
    </row>
    <row r="125" s="36" customFormat="1" ht="11.55" customHeight="1" spans="1:37">
      <c r="A125" s="946"/>
      <c r="B125" s="946"/>
      <c r="C125" s="946"/>
      <c r="D125" s="946"/>
      <c r="E125" s="946"/>
      <c r="F125" s="43"/>
      <c r="G125" s="43"/>
      <c r="N125" s="37"/>
      <c r="P125" s="37"/>
      <c r="Q125" s="43"/>
      <c r="R125" s="43"/>
      <c r="S125" s="37"/>
      <c r="T125" s="37"/>
      <c r="U125" s="37"/>
      <c r="V125" s="37"/>
      <c r="W125" s="43"/>
      <c r="X125" s="37"/>
      <c r="Y125" s="37"/>
      <c r="Z125" s="947"/>
      <c r="AA125" s="37"/>
      <c r="AB125" s="37"/>
      <c r="AC125" s="37"/>
      <c r="AD125" s="37"/>
      <c r="AE125" s="37"/>
      <c r="AF125" s="572"/>
      <c r="AG125" s="963"/>
      <c r="AH125" s="963"/>
      <c r="AI125" s="963"/>
      <c r="AJ125" s="963"/>
      <c r="AK125" s="36">
        <v>11</v>
      </c>
    </row>
    <row r="126" s="36" customFormat="1" ht="11.55" customHeight="1" spans="1:37">
      <c r="A126" s="946"/>
      <c r="B126" s="946"/>
      <c r="C126" s="946"/>
      <c r="D126" s="946"/>
      <c r="E126" s="946"/>
      <c r="F126" s="43"/>
      <c r="G126" s="43"/>
      <c r="N126" s="37"/>
      <c r="P126" s="37"/>
      <c r="Q126" s="43"/>
      <c r="R126" s="43"/>
      <c r="S126" s="37"/>
      <c r="T126" s="37"/>
      <c r="U126" s="37"/>
      <c r="V126" s="37"/>
      <c r="W126" s="43"/>
      <c r="X126" s="37"/>
      <c r="Y126" s="37"/>
      <c r="Z126" s="947"/>
      <c r="AA126" s="37"/>
      <c r="AB126" s="37"/>
      <c r="AC126" s="37"/>
      <c r="AD126" s="37"/>
      <c r="AE126" s="37"/>
      <c r="AF126" s="572"/>
      <c r="AG126" s="963"/>
      <c r="AH126" s="963"/>
      <c r="AI126" s="963"/>
      <c r="AJ126" s="963"/>
      <c r="AK126" s="36">
        <v>11</v>
      </c>
    </row>
    <row r="127" s="36" customFormat="1" ht="11.55" customHeight="1" spans="1:37">
      <c r="A127" s="946"/>
      <c r="B127" s="946"/>
      <c r="C127" s="946"/>
      <c r="D127" s="946"/>
      <c r="E127" s="946"/>
      <c r="F127" s="43"/>
      <c r="G127" s="43"/>
      <c r="N127" s="37"/>
      <c r="P127" s="37"/>
      <c r="Q127" s="43"/>
      <c r="R127" s="43"/>
      <c r="S127" s="37"/>
      <c r="T127" s="37"/>
      <c r="U127" s="37"/>
      <c r="V127" s="37"/>
      <c r="W127" s="43"/>
      <c r="X127" s="37"/>
      <c r="Y127" s="37"/>
      <c r="Z127" s="947"/>
      <c r="AA127" s="37"/>
      <c r="AB127" s="37"/>
      <c r="AC127" s="37"/>
      <c r="AD127" s="37"/>
      <c r="AE127" s="37"/>
      <c r="AF127" s="572"/>
      <c r="AG127" s="963"/>
      <c r="AH127" s="963"/>
      <c r="AI127" s="963"/>
      <c r="AJ127" s="963"/>
      <c r="AK127" s="36">
        <v>11</v>
      </c>
    </row>
    <row r="128" s="36" customFormat="1" ht="11.55" customHeight="1" spans="1:37">
      <c r="A128" s="946"/>
      <c r="B128" s="946"/>
      <c r="C128" s="946"/>
      <c r="D128" s="946"/>
      <c r="E128" s="946"/>
      <c r="F128" s="43"/>
      <c r="G128" s="43"/>
      <c r="N128" s="37"/>
      <c r="P128" s="37"/>
      <c r="Q128" s="43"/>
      <c r="R128" s="43"/>
      <c r="S128" s="37"/>
      <c r="T128" s="37"/>
      <c r="U128" s="37"/>
      <c r="V128" s="37"/>
      <c r="W128" s="43"/>
      <c r="X128" s="37"/>
      <c r="Y128" s="37"/>
      <c r="Z128" s="947"/>
      <c r="AA128" s="37"/>
      <c r="AB128" s="37"/>
      <c r="AC128" s="37"/>
      <c r="AD128" s="37"/>
      <c r="AE128" s="37"/>
      <c r="AF128" s="572"/>
      <c r="AG128" s="963"/>
      <c r="AH128" s="963"/>
      <c r="AI128" s="963"/>
      <c r="AJ128" s="963"/>
      <c r="AK128" s="36">
        <v>11</v>
      </c>
    </row>
    <row r="129" s="36" customFormat="1" ht="11.55" customHeight="1" spans="1:37">
      <c r="A129" s="946"/>
      <c r="B129" s="946"/>
      <c r="C129" s="946"/>
      <c r="D129" s="946"/>
      <c r="E129" s="946"/>
      <c r="F129" s="43"/>
      <c r="G129" s="43"/>
      <c r="N129" s="37"/>
      <c r="P129" s="37"/>
      <c r="Q129" s="43"/>
      <c r="R129" s="43"/>
      <c r="S129" s="37"/>
      <c r="T129" s="37"/>
      <c r="U129" s="37"/>
      <c r="V129" s="37"/>
      <c r="W129" s="43"/>
      <c r="X129" s="37"/>
      <c r="Y129" s="37"/>
      <c r="Z129" s="947"/>
      <c r="AA129" s="37"/>
      <c r="AB129" s="37"/>
      <c r="AC129" s="37"/>
      <c r="AD129" s="37"/>
      <c r="AE129" s="37"/>
      <c r="AF129" s="572"/>
      <c r="AG129" s="963"/>
      <c r="AH129" s="963"/>
      <c r="AI129" s="963"/>
      <c r="AJ129" s="963"/>
      <c r="AK129" s="36">
        <v>11</v>
      </c>
    </row>
    <row r="130" s="36" customFormat="1" ht="11.55" customHeight="1" spans="1:37">
      <c r="A130" s="946"/>
      <c r="B130" s="946"/>
      <c r="C130" s="946"/>
      <c r="D130" s="946"/>
      <c r="E130" s="946"/>
      <c r="F130" s="43"/>
      <c r="G130" s="43"/>
      <c r="N130" s="37"/>
      <c r="P130" s="37"/>
      <c r="Q130" s="43"/>
      <c r="R130" s="43"/>
      <c r="S130" s="37"/>
      <c r="T130" s="37"/>
      <c r="U130" s="37"/>
      <c r="V130" s="37"/>
      <c r="W130" s="43"/>
      <c r="X130" s="37"/>
      <c r="Y130" s="37"/>
      <c r="Z130" s="947"/>
      <c r="AA130" s="37"/>
      <c r="AB130" s="37"/>
      <c r="AC130" s="37"/>
      <c r="AD130" s="37"/>
      <c r="AE130" s="37"/>
      <c r="AF130" s="572"/>
      <c r="AG130" s="963"/>
      <c r="AH130" s="963"/>
      <c r="AI130" s="963"/>
      <c r="AJ130" s="963"/>
      <c r="AK130" s="36">
        <v>11</v>
      </c>
    </row>
    <row r="131" s="36" customFormat="1" ht="11.55" customHeight="1" spans="1:37">
      <c r="A131" s="946"/>
      <c r="B131" s="946"/>
      <c r="C131" s="946"/>
      <c r="D131" s="946"/>
      <c r="E131" s="946"/>
      <c r="F131" s="43"/>
      <c r="G131" s="43"/>
      <c r="N131" s="37"/>
      <c r="P131" s="37"/>
      <c r="Q131" s="43"/>
      <c r="R131" s="43"/>
      <c r="S131" s="37"/>
      <c r="T131" s="37"/>
      <c r="U131" s="37"/>
      <c r="V131" s="37"/>
      <c r="W131" s="43"/>
      <c r="X131" s="37"/>
      <c r="Y131" s="37"/>
      <c r="Z131" s="947"/>
      <c r="AA131" s="37"/>
      <c r="AB131" s="37"/>
      <c r="AC131" s="37"/>
      <c r="AD131" s="37"/>
      <c r="AE131" s="37"/>
      <c r="AF131" s="572"/>
      <c r="AG131" s="963"/>
      <c r="AH131" s="963"/>
      <c r="AI131" s="963"/>
      <c r="AJ131" s="963"/>
      <c r="AK131" s="36">
        <v>11</v>
      </c>
    </row>
    <row r="132" s="36" customFormat="1" ht="11.55" customHeight="1" spans="1:37">
      <c r="A132" s="946"/>
      <c r="B132" s="946"/>
      <c r="C132" s="946"/>
      <c r="D132" s="946"/>
      <c r="E132" s="946"/>
      <c r="F132" s="43"/>
      <c r="G132" s="43"/>
      <c r="N132" s="37"/>
      <c r="P132" s="37"/>
      <c r="Q132" s="43"/>
      <c r="R132" s="43"/>
      <c r="S132" s="37"/>
      <c r="T132" s="37"/>
      <c r="U132" s="37"/>
      <c r="V132" s="37"/>
      <c r="W132" s="43"/>
      <c r="X132" s="37"/>
      <c r="Y132" s="37"/>
      <c r="Z132" s="947"/>
      <c r="AA132" s="37"/>
      <c r="AB132" s="37"/>
      <c r="AC132" s="37"/>
      <c r="AD132" s="37"/>
      <c r="AE132" s="37"/>
      <c r="AF132" s="572"/>
      <c r="AG132" s="963"/>
      <c r="AH132" s="963"/>
      <c r="AI132" s="963"/>
      <c r="AJ132" s="963"/>
      <c r="AK132" s="36">
        <v>11</v>
      </c>
    </row>
    <row r="133" s="36" customFormat="1" ht="11.55" customHeight="1" spans="1:37">
      <c r="A133" s="946"/>
      <c r="B133" s="946"/>
      <c r="C133" s="946"/>
      <c r="D133" s="946"/>
      <c r="E133" s="946"/>
      <c r="F133" s="43"/>
      <c r="G133" s="43"/>
      <c r="N133" s="37"/>
      <c r="P133" s="37"/>
      <c r="Q133" s="43"/>
      <c r="R133" s="43"/>
      <c r="S133" s="37"/>
      <c r="T133" s="37"/>
      <c r="U133" s="37"/>
      <c r="V133" s="37"/>
      <c r="W133" s="43"/>
      <c r="X133" s="37"/>
      <c r="Y133" s="37"/>
      <c r="Z133" s="947"/>
      <c r="AA133" s="37"/>
      <c r="AB133" s="37"/>
      <c r="AC133" s="37"/>
      <c r="AD133" s="37"/>
      <c r="AE133" s="37"/>
      <c r="AF133" s="572"/>
      <c r="AG133" s="963"/>
      <c r="AH133" s="963"/>
      <c r="AI133" s="963"/>
      <c r="AJ133" s="963"/>
      <c r="AK133" s="36">
        <v>11</v>
      </c>
    </row>
    <row r="134" s="36" customFormat="1" ht="11.55" customHeight="1" spans="1:37">
      <c r="A134" s="946"/>
      <c r="B134" s="946"/>
      <c r="C134" s="946"/>
      <c r="D134" s="946"/>
      <c r="E134" s="946"/>
      <c r="F134" s="43"/>
      <c r="G134" s="43"/>
      <c r="N134" s="37"/>
      <c r="P134" s="37"/>
      <c r="Q134" s="43"/>
      <c r="R134" s="43"/>
      <c r="S134" s="37"/>
      <c r="T134" s="37"/>
      <c r="U134" s="37"/>
      <c r="V134" s="37"/>
      <c r="W134" s="43"/>
      <c r="X134" s="37"/>
      <c r="Y134" s="37"/>
      <c r="Z134" s="947"/>
      <c r="AA134" s="37"/>
      <c r="AB134" s="37"/>
      <c r="AC134" s="37"/>
      <c r="AD134" s="37"/>
      <c r="AE134" s="37"/>
      <c r="AF134" s="572"/>
      <c r="AG134" s="963"/>
      <c r="AH134" s="963"/>
      <c r="AI134" s="963"/>
      <c r="AJ134" s="963"/>
      <c r="AK134" s="36">
        <v>11</v>
      </c>
    </row>
    <row r="135" s="36" customFormat="1" ht="11.55" customHeight="1" spans="1:37">
      <c r="A135" s="946"/>
      <c r="B135" s="946"/>
      <c r="C135" s="946"/>
      <c r="D135" s="946"/>
      <c r="E135" s="946"/>
      <c r="F135" s="43"/>
      <c r="G135" s="43"/>
      <c r="N135" s="37"/>
      <c r="P135" s="37"/>
      <c r="Q135" s="43"/>
      <c r="R135" s="43"/>
      <c r="S135" s="37"/>
      <c r="T135" s="37"/>
      <c r="U135" s="37"/>
      <c r="V135" s="37"/>
      <c r="W135" s="43"/>
      <c r="X135" s="37"/>
      <c r="Y135" s="37"/>
      <c r="Z135" s="947"/>
      <c r="AA135" s="37"/>
      <c r="AB135" s="37"/>
      <c r="AC135" s="37"/>
      <c r="AD135" s="37"/>
      <c r="AE135" s="37"/>
      <c r="AF135" s="572"/>
      <c r="AG135" s="963"/>
      <c r="AH135" s="963"/>
      <c r="AI135" s="963"/>
      <c r="AJ135" s="963"/>
      <c r="AK135" s="36">
        <v>11</v>
      </c>
    </row>
    <row r="136" s="36" customFormat="1" ht="11.55" customHeight="1" spans="1:37">
      <c r="A136" s="946"/>
      <c r="B136" s="946"/>
      <c r="C136" s="946"/>
      <c r="D136" s="946"/>
      <c r="E136" s="946"/>
      <c r="F136" s="43"/>
      <c r="G136" s="43"/>
      <c r="N136" s="37"/>
      <c r="P136" s="37"/>
      <c r="Q136" s="43"/>
      <c r="R136" s="43"/>
      <c r="S136" s="37"/>
      <c r="T136" s="37"/>
      <c r="U136" s="37"/>
      <c r="V136" s="37"/>
      <c r="W136" s="43"/>
      <c r="X136" s="37"/>
      <c r="Y136" s="37"/>
      <c r="Z136" s="947"/>
      <c r="AA136" s="37"/>
      <c r="AB136" s="37"/>
      <c r="AC136" s="37"/>
      <c r="AD136" s="37"/>
      <c r="AE136" s="37"/>
      <c r="AF136" s="572"/>
      <c r="AG136" s="963"/>
      <c r="AH136" s="963"/>
      <c r="AI136" s="963"/>
      <c r="AJ136" s="963"/>
      <c r="AK136" s="36">
        <v>11</v>
      </c>
    </row>
    <row r="137" s="36" customFormat="1" ht="11.55" customHeight="1" spans="1:37">
      <c r="A137" s="946"/>
      <c r="B137" s="946"/>
      <c r="C137" s="946"/>
      <c r="D137" s="946"/>
      <c r="E137" s="946"/>
      <c r="F137" s="43"/>
      <c r="G137" s="43"/>
      <c r="N137" s="37"/>
      <c r="P137" s="37"/>
      <c r="Q137" s="43"/>
      <c r="R137" s="43"/>
      <c r="S137" s="37"/>
      <c r="T137" s="37"/>
      <c r="U137" s="37"/>
      <c r="V137" s="37"/>
      <c r="W137" s="43"/>
      <c r="X137" s="37"/>
      <c r="Y137" s="37"/>
      <c r="Z137" s="947"/>
      <c r="AA137" s="37"/>
      <c r="AB137" s="37"/>
      <c r="AC137" s="37"/>
      <c r="AD137" s="37"/>
      <c r="AE137" s="37"/>
      <c r="AF137" s="572"/>
      <c r="AG137" s="963"/>
      <c r="AH137" s="963"/>
      <c r="AI137" s="963"/>
      <c r="AJ137" s="963"/>
      <c r="AK137" s="36">
        <v>11</v>
      </c>
    </row>
    <row r="138" s="36" customFormat="1" ht="11.55" customHeight="1" spans="1:37">
      <c r="A138" s="946"/>
      <c r="B138" s="946"/>
      <c r="C138" s="946"/>
      <c r="D138" s="946"/>
      <c r="E138" s="946"/>
      <c r="F138" s="43"/>
      <c r="G138" s="43"/>
      <c r="N138" s="37"/>
      <c r="P138" s="37"/>
      <c r="Q138" s="43"/>
      <c r="R138" s="43"/>
      <c r="S138" s="37"/>
      <c r="T138" s="37"/>
      <c r="U138" s="37"/>
      <c r="V138" s="37"/>
      <c r="W138" s="43"/>
      <c r="X138" s="37"/>
      <c r="Y138" s="37"/>
      <c r="Z138" s="947"/>
      <c r="AA138" s="37"/>
      <c r="AB138" s="37"/>
      <c r="AC138" s="37"/>
      <c r="AD138" s="37"/>
      <c r="AE138" s="37"/>
      <c r="AF138" s="572"/>
      <c r="AG138" s="963"/>
      <c r="AH138" s="963"/>
      <c r="AI138" s="963"/>
      <c r="AJ138" s="963"/>
      <c r="AK138" s="36">
        <v>11</v>
      </c>
    </row>
    <row r="139" s="36" customFormat="1" ht="11.55" customHeight="1" spans="1:37">
      <c r="A139" s="946"/>
      <c r="B139" s="946"/>
      <c r="C139" s="946"/>
      <c r="D139" s="946"/>
      <c r="E139" s="946"/>
      <c r="F139" s="43"/>
      <c r="G139" s="43"/>
      <c r="N139" s="37"/>
      <c r="P139" s="37"/>
      <c r="Q139" s="43"/>
      <c r="R139" s="43"/>
      <c r="S139" s="37"/>
      <c r="T139" s="37"/>
      <c r="U139" s="37"/>
      <c r="V139" s="37"/>
      <c r="W139" s="43"/>
      <c r="X139" s="37"/>
      <c r="Y139" s="37"/>
      <c r="Z139" s="947"/>
      <c r="AA139" s="37"/>
      <c r="AB139" s="37"/>
      <c r="AC139" s="37"/>
      <c r="AD139" s="37"/>
      <c r="AE139" s="37"/>
      <c r="AF139" s="572"/>
      <c r="AG139" s="963"/>
      <c r="AH139" s="963"/>
      <c r="AI139" s="963"/>
      <c r="AJ139" s="963"/>
      <c r="AK139" s="36">
        <v>11</v>
      </c>
    </row>
    <row r="140" s="36" customFormat="1" ht="11.55" customHeight="1" spans="1:37">
      <c r="A140" s="946"/>
      <c r="B140" s="946"/>
      <c r="C140" s="946"/>
      <c r="D140" s="946"/>
      <c r="E140" s="946"/>
      <c r="F140" s="43"/>
      <c r="G140" s="43"/>
      <c r="N140" s="37"/>
      <c r="P140" s="37"/>
      <c r="Q140" s="43"/>
      <c r="R140" s="43"/>
      <c r="S140" s="37"/>
      <c r="T140" s="37"/>
      <c r="U140" s="37"/>
      <c r="V140" s="37"/>
      <c r="W140" s="43"/>
      <c r="X140" s="37"/>
      <c r="Y140" s="37"/>
      <c r="Z140" s="947"/>
      <c r="AA140" s="37"/>
      <c r="AB140" s="37"/>
      <c r="AC140" s="37"/>
      <c r="AD140" s="37"/>
      <c r="AE140" s="37"/>
      <c r="AF140" s="572"/>
      <c r="AG140" s="963"/>
      <c r="AH140" s="963"/>
      <c r="AI140" s="963"/>
      <c r="AJ140" s="963"/>
      <c r="AK140" s="36">
        <v>11</v>
      </c>
    </row>
    <row r="141" s="36" customFormat="1" ht="11.55" customHeight="1" spans="1:37">
      <c r="A141" s="946"/>
      <c r="B141" s="946"/>
      <c r="C141" s="946"/>
      <c r="D141" s="946"/>
      <c r="E141" s="946"/>
      <c r="F141" s="43"/>
      <c r="G141" s="43"/>
      <c r="N141" s="37"/>
      <c r="P141" s="37"/>
      <c r="Q141" s="43"/>
      <c r="R141" s="43"/>
      <c r="S141" s="37"/>
      <c r="T141" s="37"/>
      <c r="U141" s="37"/>
      <c r="V141" s="37"/>
      <c r="W141" s="43"/>
      <c r="X141" s="37"/>
      <c r="Y141" s="37"/>
      <c r="Z141" s="947"/>
      <c r="AA141" s="37"/>
      <c r="AB141" s="37"/>
      <c r="AC141" s="37"/>
      <c r="AD141" s="37"/>
      <c r="AE141" s="37"/>
      <c r="AF141" s="572"/>
      <c r="AG141" s="963"/>
      <c r="AH141" s="963"/>
      <c r="AI141" s="963"/>
      <c r="AJ141" s="963"/>
      <c r="AK141" s="36">
        <v>11</v>
      </c>
    </row>
    <row r="142" s="36" customFormat="1" ht="11.55" customHeight="1" spans="1:37">
      <c r="A142" s="946"/>
      <c r="B142" s="946"/>
      <c r="C142" s="946"/>
      <c r="D142" s="946"/>
      <c r="E142" s="946"/>
      <c r="F142" s="43"/>
      <c r="G142" s="43"/>
      <c r="N142" s="37"/>
      <c r="P142" s="37"/>
      <c r="Q142" s="43"/>
      <c r="R142" s="43"/>
      <c r="S142" s="37"/>
      <c r="T142" s="37"/>
      <c r="U142" s="37"/>
      <c r="V142" s="37"/>
      <c r="W142" s="43"/>
      <c r="X142" s="37"/>
      <c r="Y142" s="37"/>
      <c r="Z142" s="947"/>
      <c r="AA142" s="37"/>
      <c r="AB142" s="37"/>
      <c r="AC142" s="37"/>
      <c r="AD142" s="37"/>
      <c r="AE142" s="37"/>
      <c r="AF142" s="572"/>
      <c r="AG142" s="963"/>
      <c r="AH142" s="963"/>
      <c r="AI142" s="963"/>
      <c r="AJ142" s="963"/>
      <c r="AK142" s="36">
        <v>11</v>
      </c>
    </row>
    <row r="143" s="36" customFormat="1" ht="11.55" customHeight="1" spans="1:37">
      <c r="A143" s="946"/>
      <c r="B143" s="946"/>
      <c r="C143" s="946"/>
      <c r="D143" s="946"/>
      <c r="E143" s="946"/>
      <c r="F143" s="43"/>
      <c r="G143" s="43"/>
      <c r="N143" s="37"/>
      <c r="P143" s="37"/>
      <c r="Q143" s="43"/>
      <c r="R143" s="43"/>
      <c r="S143" s="37"/>
      <c r="T143" s="37"/>
      <c r="U143" s="37"/>
      <c r="V143" s="37"/>
      <c r="W143" s="43"/>
      <c r="X143" s="37"/>
      <c r="Y143" s="37"/>
      <c r="Z143" s="947"/>
      <c r="AA143" s="37"/>
      <c r="AB143" s="37"/>
      <c r="AC143" s="37"/>
      <c r="AD143" s="37"/>
      <c r="AE143" s="37"/>
      <c r="AF143" s="572"/>
      <c r="AG143" s="963"/>
      <c r="AH143" s="963"/>
      <c r="AI143" s="963"/>
      <c r="AJ143" s="963"/>
      <c r="AK143" s="36">
        <v>11</v>
      </c>
    </row>
    <row r="144" s="36" customFormat="1" ht="11.55" customHeight="1" spans="1:37">
      <c r="A144" s="946"/>
      <c r="B144" s="946"/>
      <c r="C144" s="946"/>
      <c r="D144" s="946"/>
      <c r="E144" s="946"/>
      <c r="F144" s="43"/>
      <c r="G144" s="43"/>
      <c r="N144" s="37"/>
      <c r="P144" s="37"/>
      <c r="Q144" s="43"/>
      <c r="R144" s="43"/>
      <c r="S144" s="37"/>
      <c r="T144" s="37"/>
      <c r="U144" s="37"/>
      <c r="V144" s="37"/>
      <c r="W144" s="43"/>
      <c r="X144" s="37"/>
      <c r="Y144" s="37"/>
      <c r="Z144" s="947"/>
      <c r="AA144" s="37"/>
      <c r="AB144" s="37"/>
      <c r="AC144" s="37"/>
      <c r="AD144" s="37"/>
      <c r="AE144" s="37"/>
      <c r="AF144" s="572"/>
      <c r="AG144" s="963"/>
      <c r="AH144" s="963"/>
      <c r="AI144" s="963"/>
      <c r="AJ144" s="963"/>
      <c r="AK144" s="36">
        <v>11</v>
      </c>
    </row>
    <row r="145" s="36" customFormat="1" ht="11.55" customHeight="1" spans="1:37">
      <c r="A145" s="946"/>
      <c r="B145" s="946"/>
      <c r="C145" s="946"/>
      <c r="D145" s="946"/>
      <c r="E145" s="946"/>
      <c r="F145" s="43"/>
      <c r="G145" s="43"/>
      <c r="N145" s="37"/>
      <c r="P145" s="37"/>
      <c r="Q145" s="43"/>
      <c r="R145" s="43"/>
      <c r="S145" s="37"/>
      <c r="T145" s="37"/>
      <c r="U145" s="37"/>
      <c r="V145" s="37"/>
      <c r="W145" s="43"/>
      <c r="X145" s="37"/>
      <c r="Y145" s="37"/>
      <c r="Z145" s="947"/>
      <c r="AA145" s="37"/>
      <c r="AB145" s="37"/>
      <c r="AC145" s="37"/>
      <c r="AD145" s="37"/>
      <c r="AE145" s="37"/>
      <c r="AF145" s="572"/>
      <c r="AG145" s="963"/>
      <c r="AH145" s="963"/>
      <c r="AI145" s="963"/>
      <c r="AJ145" s="963"/>
      <c r="AK145" s="36">
        <v>11</v>
      </c>
    </row>
    <row r="146" s="36" customFormat="1" ht="11.55" customHeight="1" spans="1:37">
      <c r="A146" s="946"/>
      <c r="B146" s="946"/>
      <c r="C146" s="946"/>
      <c r="D146" s="946"/>
      <c r="E146" s="946"/>
      <c r="F146" s="43"/>
      <c r="G146" s="43"/>
      <c r="N146" s="37"/>
      <c r="P146" s="37"/>
      <c r="Q146" s="43"/>
      <c r="R146" s="43"/>
      <c r="S146" s="37"/>
      <c r="T146" s="37"/>
      <c r="U146" s="37"/>
      <c r="V146" s="37"/>
      <c r="W146" s="43"/>
      <c r="X146" s="37"/>
      <c r="Y146" s="37"/>
      <c r="Z146" s="947"/>
      <c r="AA146" s="37"/>
      <c r="AB146" s="37"/>
      <c r="AC146" s="37"/>
      <c r="AD146" s="37"/>
      <c r="AE146" s="37"/>
      <c r="AF146" s="572"/>
      <c r="AG146" s="963"/>
      <c r="AH146" s="963"/>
      <c r="AI146" s="963"/>
      <c r="AJ146" s="963"/>
      <c r="AK146" s="36">
        <v>11</v>
      </c>
    </row>
    <row r="147" s="36" customFormat="1" ht="11.55" customHeight="1" spans="1:37">
      <c r="A147" s="946"/>
      <c r="B147" s="946"/>
      <c r="C147" s="946"/>
      <c r="D147" s="946"/>
      <c r="E147" s="946"/>
      <c r="F147" s="43"/>
      <c r="G147" s="43"/>
      <c r="N147" s="37"/>
      <c r="P147" s="37"/>
      <c r="Q147" s="43"/>
      <c r="R147" s="43"/>
      <c r="S147" s="37"/>
      <c r="T147" s="37"/>
      <c r="U147" s="37"/>
      <c r="V147" s="37"/>
      <c r="W147" s="43"/>
      <c r="X147" s="37"/>
      <c r="Y147" s="37"/>
      <c r="Z147" s="947"/>
      <c r="AA147" s="37"/>
      <c r="AB147" s="37"/>
      <c r="AC147" s="37"/>
      <c r="AD147" s="37"/>
      <c r="AE147" s="37"/>
      <c r="AF147" s="572"/>
      <c r="AG147" s="963"/>
      <c r="AH147" s="963"/>
      <c r="AI147" s="963"/>
      <c r="AJ147" s="963"/>
      <c r="AK147" s="36">
        <v>11</v>
      </c>
    </row>
    <row r="148" s="36" customFormat="1" ht="11.55" customHeight="1" spans="1:37">
      <c r="A148" s="946"/>
      <c r="B148" s="946"/>
      <c r="C148" s="946"/>
      <c r="D148" s="946"/>
      <c r="E148" s="946"/>
      <c r="F148" s="43"/>
      <c r="G148" s="43"/>
      <c r="N148" s="37"/>
      <c r="P148" s="37"/>
      <c r="Q148" s="43"/>
      <c r="R148" s="43"/>
      <c r="S148" s="37"/>
      <c r="T148" s="37"/>
      <c r="U148" s="37"/>
      <c r="V148" s="37"/>
      <c r="W148" s="43"/>
      <c r="X148" s="37"/>
      <c r="Y148" s="37"/>
      <c r="Z148" s="947"/>
      <c r="AA148" s="37"/>
      <c r="AB148" s="37"/>
      <c r="AC148" s="37"/>
      <c r="AD148" s="37"/>
      <c r="AE148" s="37"/>
      <c r="AF148" s="572"/>
      <c r="AG148" s="963"/>
      <c r="AH148" s="963"/>
      <c r="AI148" s="963"/>
      <c r="AJ148" s="963"/>
      <c r="AK148" s="36">
        <v>11</v>
      </c>
    </row>
    <row r="149" s="36" customFormat="1" ht="11.55" customHeight="1" spans="1:37">
      <c r="A149" s="946"/>
      <c r="B149" s="946"/>
      <c r="C149" s="946"/>
      <c r="D149" s="946"/>
      <c r="E149" s="946"/>
      <c r="F149" s="43"/>
      <c r="G149" s="43"/>
      <c r="N149" s="37"/>
      <c r="P149" s="37"/>
      <c r="Q149" s="43"/>
      <c r="R149" s="43"/>
      <c r="S149" s="37"/>
      <c r="T149" s="37"/>
      <c r="U149" s="37"/>
      <c r="V149" s="37"/>
      <c r="W149" s="43"/>
      <c r="X149" s="37"/>
      <c r="Y149" s="37"/>
      <c r="Z149" s="947"/>
      <c r="AA149" s="37"/>
      <c r="AB149" s="37"/>
      <c r="AC149" s="37"/>
      <c r="AD149" s="37"/>
      <c r="AE149" s="37"/>
      <c r="AF149" s="572"/>
      <c r="AG149" s="963"/>
      <c r="AH149" s="963"/>
      <c r="AI149" s="963"/>
      <c r="AJ149" s="963"/>
      <c r="AK149" s="36">
        <v>11</v>
      </c>
    </row>
    <row r="150" s="36" customFormat="1" ht="11.55" customHeight="1" spans="1:37">
      <c r="A150" s="946"/>
      <c r="B150" s="946"/>
      <c r="C150" s="946"/>
      <c r="D150" s="946"/>
      <c r="E150" s="946"/>
      <c r="F150" s="43"/>
      <c r="G150" s="43"/>
      <c r="N150" s="37"/>
      <c r="P150" s="37"/>
      <c r="Q150" s="43"/>
      <c r="R150" s="43"/>
      <c r="S150" s="37"/>
      <c r="T150" s="37"/>
      <c r="U150" s="37"/>
      <c r="V150" s="37"/>
      <c r="W150" s="43"/>
      <c r="X150" s="37"/>
      <c r="Y150" s="37"/>
      <c r="Z150" s="947"/>
      <c r="AA150" s="37"/>
      <c r="AB150" s="37"/>
      <c r="AC150" s="37"/>
      <c r="AD150" s="37"/>
      <c r="AE150" s="37"/>
      <c r="AF150" s="572"/>
      <c r="AG150" s="963"/>
      <c r="AH150" s="963"/>
      <c r="AI150" s="963"/>
      <c r="AJ150" s="963"/>
      <c r="AK150" s="36">
        <v>11</v>
      </c>
    </row>
    <row r="151" s="36" customFormat="1" ht="11.55" customHeight="1" spans="1:37">
      <c r="A151" s="946"/>
      <c r="B151" s="946"/>
      <c r="C151" s="946"/>
      <c r="D151" s="946"/>
      <c r="E151" s="946"/>
      <c r="F151" s="43"/>
      <c r="G151" s="43"/>
      <c r="N151" s="37"/>
      <c r="P151" s="37"/>
      <c r="Q151" s="43"/>
      <c r="R151" s="43"/>
      <c r="S151" s="37"/>
      <c r="T151" s="37"/>
      <c r="U151" s="37"/>
      <c r="V151" s="37"/>
      <c r="W151" s="43"/>
      <c r="X151" s="37"/>
      <c r="Y151" s="37"/>
      <c r="Z151" s="947"/>
      <c r="AA151" s="37"/>
      <c r="AB151" s="37"/>
      <c r="AC151" s="37"/>
      <c r="AD151" s="37"/>
      <c r="AE151" s="37"/>
      <c r="AF151" s="572"/>
      <c r="AG151" s="963"/>
      <c r="AH151" s="963"/>
      <c r="AI151" s="963"/>
      <c r="AJ151" s="963"/>
      <c r="AK151" s="36">
        <v>11</v>
      </c>
    </row>
    <row r="152" s="36" customFormat="1" ht="11.55" customHeight="1" spans="1:37">
      <c r="A152" s="946"/>
      <c r="B152" s="946"/>
      <c r="C152" s="946"/>
      <c r="D152" s="946"/>
      <c r="E152" s="946"/>
      <c r="F152" s="43"/>
      <c r="G152" s="43"/>
      <c r="N152" s="37"/>
      <c r="P152" s="37"/>
      <c r="Q152" s="43"/>
      <c r="R152" s="43"/>
      <c r="S152" s="37"/>
      <c r="T152" s="37"/>
      <c r="U152" s="37"/>
      <c r="V152" s="37"/>
      <c r="W152" s="43"/>
      <c r="X152" s="37"/>
      <c r="Y152" s="37"/>
      <c r="Z152" s="947"/>
      <c r="AA152" s="37"/>
      <c r="AB152" s="37"/>
      <c r="AC152" s="37"/>
      <c r="AD152" s="37"/>
      <c r="AE152" s="37"/>
      <c r="AF152" s="572"/>
      <c r="AG152" s="963"/>
      <c r="AH152" s="963"/>
      <c r="AI152" s="963"/>
      <c r="AJ152" s="963"/>
      <c r="AK152" s="36">
        <v>11</v>
      </c>
    </row>
    <row r="153" s="36" customFormat="1" ht="11.55" customHeight="1" spans="1:37">
      <c r="A153" s="946"/>
      <c r="B153" s="946"/>
      <c r="C153" s="946"/>
      <c r="D153" s="946"/>
      <c r="E153" s="946"/>
      <c r="F153" s="43"/>
      <c r="G153" s="43"/>
      <c r="N153" s="37"/>
      <c r="P153" s="37"/>
      <c r="Q153" s="43"/>
      <c r="R153" s="43"/>
      <c r="S153" s="37"/>
      <c r="T153" s="37"/>
      <c r="U153" s="37"/>
      <c r="V153" s="37"/>
      <c r="W153" s="43"/>
      <c r="X153" s="37"/>
      <c r="Y153" s="37"/>
      <c r="Z153" s="947"/>
      <c r="AA153" s="37"/>
      <c r="AB153" s="37"/>
      <c r="AC153" s="37"/>
      <c r="AD153" s="37"/>
      <c r="AE153" s="37"/>
      <c r="AF153" s="572"/>
      <c r="AG153" s="963"/>
      <c r="AH153" s="963"/>
      <c r="AI153" s="963"/>
      <c r="AJ153" s="963"/>
      <c r="AK153" s="36">
        <v>11</v>
      </c>
    </row>
    <row r="154" s="36" customFormat="1" ht="11.55" customHeight="1" spans="1:37">
      <c r="A154" s="946"/>
      <c r="B154" s="946"/>
      <c r="C154" s="946"/>
      <c r="D154" s="946"/>
      <c r="E154" s="946"/>
      <c r="F154" s="43"/>
      <c r="G154" s="43"/>
      <c r="N154" s="37"/>
      <c r="P154" s="37"/>
      <c r="Q154" s="43"/>
      <c r="R154" s="43"/>
      <c r="S154" s="37"/>
      <c r="T154" s="37"/>
      <c r="U154" s="37"/>
      <c r="V154" s="37"/>
      <c r="W154" s="43"/>
      <c r="X154" s="37"/>
      <c r="Y154" s="37"/>
      <c r="Z154" s="947"/>
      <c r="AA154" s="37"/>
      <c r="AB154" s="37"/>
      <c r="AC154" s="37"/>
      <c r="AD154" s="37"/>
      <c r="AE154" s="37"/>
      <c r="AF154" s="572"/>
      <c r="AG154" s="963"/>
      <c r="AH154" s="963"/>
      <c r="AI154" s="963"/>
      <c r="AJ154" s="963"/>
      <c r="AK154" s="36">
        <v>11</v>
      </c>
    </row>
    <row r="155" s="36" customFormat="1" ht="11.55" customHeight="1" spans="1:37">
      <c r="A155" s="946"/>
      <c r="B155" s="946"/>
      <c r="C155" s="946"/>
      <c r="D155" s="946"/>
      <c r="E155" s="946"/>
      <c r="F155" s="43"/>
      <c r="G155" s="43"/>
      <c r="N155" s="37"/>
      <c r="P155" s="37"/>
      <c r="Q155" s="43"/>
      <c r="R155" s="43"/>
      <c r="S155" s="37"/>
      <c r="T155" s="37"/>
      <c r="U155" s="37"/>
      <c r="V155" s="37"/>
      <c r="W155" s="43"/>
      <c r="X155" s="37"/>
      <c r="Y155" s="37"/>
      <c r="Z155" s="947"/>
      <c r="AA155" s="37"/>
      <c r="AB155" s="37"/>
      <c r="AC155" s="37"/>
      <c r="AD155" s="37"/>
      <c r="AE155" s="37"/>
      <c r="AF155" s="572"/>
      <c r="AG155" s="963"/>
      <c r="AH155" s="963"/>
      <c r="AI155" s="963"/>
      <c r="AJ155" s="963"/>
      <c r="AK155" s="36">
        <v>11</v>
      </c>
    </row>
    <row r="156" s="36" customFormat="1" ht="11.55" customHeight="1" spans="1:37">
      <c r="A156" s="946"/>
      <c r="B156" s="946"/>
      <c r="C156" s="946"/>
      <c r="D156" s="946"/>
      <c r="E156" s="946"/>
      <c r="F156" s="43"/>
      <c r="G156" s="43"/>
      <c r="N156" s="37"/>
      <c r="P156" s="37"/>
      <c r="Q156" s="43"/>
      <c r="R156" s="43"/>
      <c r="S156" s="37"/>
      <c r="T156" s="37"/>
      <c r="U156" s="37"/>
      <c r="V156" s="37"/>
      <c r="W156" s="43"/>
      <c r="X156" s="37"/>
      <c r="Y156" s="37"/>
      <c r="Z156" s="947"/>
      <c r="AA156" s="37"/>
      <c r="AB156" s="37"/>
      <c r="AC156" s="37"/>
      <c r="AD156" s="37"/>
      <c r="AE156" s="37"/>
      <c r="AF156" s="572"/>
      <c r="AG156" s="963"/>
      <c r="AH156" s="963"/>
      <c r="AI156" s="963"/>
      <c r="AJ156" s="963"/>
      <c r="AK156" s="36">
        <v>11</v>
      </c>
    </row>
    <row r="157" s="36" customFormat="1" ht="11.55" customHeight="1" spans="1:37">
      <c r="A157" s="946"/>
      <c r="B157" s="946"/>
      <c r="C157" s="946"/>
      <c r="D157" s="946"/>
      <c r="E157" s="946"/>
      <c r="F157" s="43"/>
      <c r="G157" s="43"/>
      <c r="N157" s="37"/>
      <c r="P157" s="37"/>
      <c r="Q157" s="43"/>
      <c r="R157" s="43"/>
      <c r="S157" s="37"/>
      <c r="T157" s="37"/>
      <c r="U157" s="37"/>
      <c r="V157" s="37"/>
      <c r="W157" s="43"/>
      <c r="X157" s="37"/>
      <c r="Y157" s="37"/>
      <c r="Z157" s="947"/>
      <c r="AA157" s="37"/>
      <c r="AB157" s="37"/>
      <c r="AC157" s="37"/>
      <c r="AD157" s="37"/>
      <c r="AE157" s="37"/>
      <c r="AF157" s="572"/>
      <c r="AG157" s="963"/>
      <c r="AH157" s="963"/>
      <c r="AI157" s="963"/>
      <c r="AJ157" s="963"/>
      <c r="AK157" s="36">
        <v>11</v>
      </c>
    </row>
    <row r="158" s="36" customFormat="1" ht="11.55" customHeight="1" spans="1:37">
      <c r="A158" s="946"/>
      <c r="B158" s="946"/>
      <c r="C158" s="946"/>
      <c r="D158" s="946"/>
      <c r="E158" s="946"/>
      <c r="F158" s="43"/>
      <c r="G158" s="43"/>
      <c r="N158" s="37"/>
      <c r="P158" s="37"/>
      <c r="Q158" s="43"/>
      <c r="R158" s="43"/>
      <c r="S158" s="37"/>
      <c r="T158" s="37"/>
      <c r="U158" s="37"/>
      <c r="V158" s="37"/>
      <c r="W158" s="43"/>
      <c r="X158" s="37"/>
      <c r="Y158" s="37"/>
      <c r="Z158" s="947"/>
      <c r="AA158" s="37"/>
      <c r="AB158" s="37"/>
      <c r="AC158" s="37"/>
      <c r="AD158" s="37"/>
      <c r="AE158" s="37"/>
      <c r="AF158" s="572"/>
      <c r="AG158" s="963"/>
      <c r="AH158" s="963"/>
      <c r="AI158" s="963"/>
      <c r="AJ158" s="963"/>
      <c r="AK158" s="36">
        <v>11</v>
      </c>
    </row>
    <row r="159" s="36" customFormat="1" ht="11.55" customHeight="1" spans="1:37">
      <c r="A159" s="946"/>
      <c r="B159" s="946"/>
      <c r="C159" s="946"/>
      <c r="D159" s="946"/>
      <c r="E159" s="946"/>
      <c r="F159" s="43"/>
      <c r="G159" s="43"/>
      <c r="N159" s="37"/>
      <c r="P159" s="37"/>
      <c r="Q159" s="43"/>
      <c r="R159" s="43"/>
      <c r="S159" s="37"/>
      <c r="T159" s="37"/>
      <c r="U159" s="37"/>
      <c r="V159" s="37"/>
      <c r="W159" s="43"/>
      <c r="X159" s="37"/>
      <c r="Y159" s="37"/>
      <c r="Z159" s="947"/>
      <c r="AA159" s="37"/>
      <c r="AB159" s="37"/>
      <c r="AC159" s="37"/>
      <c r="AD159" s="37"/>
      <c r="AE159" s="37"/>
      <c r="AF159" s="572"/>
      <c r="AG159" s="963"/>
      <c r="AH159" s="963"/>
      <c r="AI159" s="963"/>
      <c r="AJ159" s="963"/>
      <c r="AK159" s="36">
        <v>11</v>
      </c>
    </row>
    <row r="160" s="36" customFormat="1" ht="11.55" customHeight="1" spans="1:37">
      <c r="A160" s="946"/>
      <c r="B160" s="946"/>
      <c r="C160" s="946"/>
      <c r="D160" s="946"/>
      <c r="E160" s="946"/>
      <c r="F160" s="43"/>
      <c r="G160" s="43"/>
      <c r="N160" s="37"/>
      <c r="P160" s="37"/>
      <c r="Q160" s="43"/>
      <c r="R160" s="43"/>
      <c r="S160" s="37"/>
      <c r="T160" s="37"/>
      <c r="U160" s="37"/>
      <c r="V160" s="37"/>
      <c r="W160" s="43"/>
      <c r="X160" s="37"/>
      <c r="Y160" s="37"/>
      <c r="Z160" s="947"/>
      <c r="AA160" s="37"/>
      <c r="AB160" s="37"/>
      <c r="AC160" s="37"/>
      <c r="AD160" s="37"/>
      <c r="AE160" s="37"/>
      <c r="AF160" s="572"/>
      <c r="AG160" s="963"/>
      <c r="AH160" s="963"/>
      <c r="AI160" s="963"/>
      <c r="AJ160" s="963"/>
      <c r="AK160" s="36">
        <v>11</v>
      </c>
    </row>
    <row r="161" s="36" customFormat="1" ht="11.55" customHeight="1" spans="1:37">
      <c r="A161" s="946"/>
      <c r="B161" s="946"/>
      <c r="C161" s="946"/>
      <c r="D161" s="946"/>
      <c r="E161" s="946"/>
      <c r="F161" s="43"/>
      <c r="G161" s="43"/>
      <c r="N161" s="37"/>
      <c r="P161" s="37"/>
      <c r="Q161" s="43"/>
      <c r="R161" s="43"/>
      <c r="S161" s="37"/>
      <c r="T161" s="37"/>
      <c r="U161" s="37"/>
      <c r="V161" s="37"/>
      <c r="W161" s="43"/>
      <c r="X161" s="37"/>
      <c r="Y161" s="37"/>
      <c r="Z161" s="947"/>
      <c r="AA161" s="37"/>
      <c r="AB161" s="37"/>
      <c r="AC161" s="37"/>
      <c r="AD161" s="37"/>
      <c r="AE161" s="37"/>
      <c r="AF161" s="572"/>
      <c r="AG161" s="963"/>
      <c r="AH161" s="963"/>
      <c r="AI161" s="963"/>
      <c r="AJ161" s="963"/>
      <c r="AK161" s="36">
        <v>11</v>
      </c>
    </row>
    <row r="162" s="36" customFormat="1" ht="11.55" customHeight="1" spans="1:37">
      <c r="A162" s="946"/>
      <c r="B162" s="946"/>
      <c r="C162" s="946"/>
      <c r="D162" s="946"/>
      <c r="E162" s="946"/>
      <c r="F162" s="43"/>
      <c r="G162" s="43"/>
      <c r="N162" s="37"/>
      <c r="P162" s="37"/>
      <c r="Q162" s="43"/>
      <c r="R162" s="43"/>
      <c r="S162" s="37"/>
      <c r="T162" s="37"/>
      <c r="U162" s="37"/>
      <c r="V162" s="37"/>
      <c r="W162" s="43"/>
      <c r="X162" s="37"/>
      <c r="Y162" s="37"/>
      <c r="Z162" s="947"/>
      <c r="AA162" s="37"/>
      <c r="AB162" s="37"/>
      <c r="AC162" s="37"/>
      <c r="AD162" s="37"/>
      <c r="AE162" s="37"/>
      <c r="AF162" s="572"/>
      <c r="AG162" s="963"/>
      <c r="AH162" s="963"/>
      <c r="AI162" s="963"/>
      <c r="AJ162" s="963"/>
      <c r="AK162" s="36">
        <v>11</v>
      </c>
    </row>
    <row r="163" s="36" customFormat="1" ht="11.55" customHeight="1" spans="1:37">
      <c r="A163" s="946"/>
      <c r="B163" s="946"/>
      <c r="C163" s="946"/>
      <c r="D163" s="946"/>
      <c r="E163" s="946"/>
      <c r="F163" s="43"/>
      <c r="G163" s="43"/>
      <c r="N163" s="37"/>
      <c r="P163" s="37"/>
      <c r="Q163" s="43"/>
      <c r="R163" s="43"/>
      <c r="S163" s="37"/>
      <c r="T163" s="37"/>
      <c r="U163" s="37"/>
      <c r="V163" s="37"/>
      <c r="W163" s="43"/>
      <c r="X163" s="37"/>
      <c r="Y163" s="37"/>
      <c r="Z163" s="947"/>
      <c r="AA163" s="37"/>
      <c r="AB163" s="37"/>
      <c r="AC163" s="37"/>
      <c r="AD163" s="37"/>
      <c r="AE163" s="37"/>
      <c r="AF163" s="572"/>
      <c r="AG163" s="963"/>
      <c r="AH163" s="963"/>
      <c r="AI163" s="963"/>
      <c r="AJ163" s="963"/>
      <c r="AK163" s="36">
        <v>11</v>
      </c>
    </row>
    <row r="164" s="36" customFormat="1" ht="11.55" customHeight="1" spans="1:37">
      <c r="A164" s="946"/>
      <c r="B164" s="946"/>
      <c r="C164" s="946"/>
      <c r="D164" s="946"/>
      <c r="E164" s="946"/>
      <c r="F164" s="43"/>
      <c r="G164" s="43"/>
      <c r="N164" s="37"/>
      <c r="P164" s="37"/>
      <c r="Q164" s="43"/>
      <c r="R164" s="43"/>
      <c r="S164" s="37"/>
      <c r="T164" s="37"/>
      <c r="U164" s="37"/>
      <c r="V164" s="37"/>
      <c r="W164" s="43"/>
      <c r="X164" s="37"/>
      <c r="Y164" s="37"/>
      <c r="Z164" s="947"/>
      <c r="AA164" s="37"/>
      <c r="AB164" s="37"/>
      <c r="AC164" s="37"/>
      <c r="AD164" s="37"/>
      <c r="AE164" s="37"/>
      <c r="AF164" s="572"/>
      <c r="AG164" s="963"/>
      <c r="AH164" s="963"/>
      <c r="AI164" s="963"/>
      <c r="AJ164" s="963"/>
      <c r="AK164" s="36">
        <v>11</v>
      </c>
    </row>
    <row r="165" s="36" customFormat="1" ht="11.55" customHeight="1" spans="1:37">
      <c r="A165" s="946"/>
      <c r="B165" s="946"/>
      <c r="C165" s="946"/>
      <c r="D165" s="946"/>
      <c r="E165" s="946"/>
      <c r="F165" s="43"/>
      <c r="G165" s="43"/>
      <c r="N165" s="37"/>
      <c r="P165" s="37"/>
      <c r="Q165" s="43"/>
      <c r="R165" s="43"/>
      <c r="S165" s="37"/>
      <c r="T165" s="37"/>
      <c r="U165" s="37"/>
      <c r="V165" s="37"/>
      <c r="W165" s="43"/>
      <c r="X165" s="37"/>
      <c r="Y165" s="37"/>
      <c r="Z165" s="947"/>
      <c r="AA165" s="37"/>
      <c r="AB165" s="37"/>
      <c r="AC165" s="37"/>
      <c r="AD165" s="37"/>
      <c r="AE165" s="37"/>
      <c r="AF165" s="572"/>
      <c r="AG165" s="963"/>
      <c r="AH165" s="963"/>
      <c r="AI165" s="963"/>
      <c r="AJ165" s="963"/>
      <c r="AK165" s="36">
        <v>11</v>
      </c>
    </row>
    <row r="166" s="36" customFormat="1" ht="11.55" customHeight="1" spans="1:37">
      <c r="A166" s="946"/>
      <c r="B166" s="946"/>
      <c r="C166" s="946"/>
      <c r="D166" s="946"/>
      <c r="E166" s="946"/>
      <c r="F166" s="43"/>
      <c r="G166" s="43"/>
      <c r="N166" s="37"/>
      <c r="P166" s="37"/>
      <c r="Q166" s="43"/>
      <c r="R166" s="43"/>
      <c r="S166" s="37"/>
      <c r="T166" s="37"/>
      <c r="U166" s="37"/>
      <c r="V166" s="37"/>
      <c r="W166" s="43"/>
      <c r="X166" s="37"/>
      <c r="Y166" s="37"/>
      <c r="Z166" s="947"/>
      <c r="AA166" s="37"/>
      <c r="AB166" s="37"/>
      <c r="AC166" s="37"/>
      <c r="AD166" s="37"/>
      <c r="AE166" s="37"/>
      <c r="AF166" s="572"/>
      <c r="AG166" s="963"/>
      <c r="AH166" s="963"/>
      <c r="AI166" s="963"/>
      <c r="AJ166" s="963"/>
      <c r="AK166" s="36">
        <v>11</v>
      </c>
    </row>
    <row r="167" s="36" customFormat="1" ht="11.55" customHeight="1" spans="1:37">
      <c r="A167" s="946"/>
      <c r="B167" s="946"/>
      <c r="C167" s="946"/>
      <c r="D167" s="946"/>
      <c r="E167" s="946"/>
      <c r="F167" s="43"/>
      <c r="G167" s="43"/>
      <c r="N167" s="37"/>
      <c r="P167" s="37"/>
      <c r="Q167" s="43"/>
      <c r="R167" s="43"/>
      <c r="S167" s="37"/>
      <c r="T167" s="37"/>
      <c r="U167" s="37"/>
      <c r="V167" s="37"/>
      <c r="W167" s="43"/>
      <c r="X167" s="37"/>
      <c r="Y167" s="37"/>
      <c r="Z167" s="947"/>
      <c r="AA167" s="37"/>
      <c r="AB167" s="37"/>
      <c r="AC167" s="37"/>
      <c r="AD167" s="37"/>
      <c r="AE167" s="37"/>
      <c r="AF167" s="572"/>
      <c r="AG167" s="963"/>
      <c r="AH167" s="963"/>
      <c r="AI167" s="963"/>
      <c r="AJ167" s="963"/>
      <c r="AK167" s="36">
        <v>11</v>
      </c>
    </row>
    <row r="168" s="36" customFormat="1" ht="11.55" customHeight="1" spans="1:37">
      <c r="A168" s="946"/>
      <c r="B168" s="946"/>
      <c r="C168" s="946"/>
      <c r="D168" s="946"/>
      <c r="E168" s="946"/>
      <c r="F168" s="43"/>
      <c r="G168" s="43"/>
      <c r="N168" s="37"/>
      <c r="P168" s="37"/>
      <c r="Q168" s="43"/>
      <c r="R168" s="43"/>
      <c r="S168" s="37"/>
      <c r="T168" s="37"/>
      <c r="U168" s="37"/>
      <c r="V168" s="37"/>
      <c r="W168" s="43"/>
      <c r="X168" s="37"/>
      <c r="Y168" s="37"/>
      <c r="Z168" s="947"/>
      <c r="AA168" s="37"/>
      <c r="AB168" s="37"/>
      <c r="AC168" s="37"/>
      <c r="AD168" s="37"/>
      <c r="AE168" s="37"/>
      <c r="AF168" s="572"/>
      <c r="AG168" s="963"/>
      <c r="AH168" s="963"/>
      <c r="AI168" s="963"/>
      <c r="AJ168" s="963"/>
      <c r="AK168" s="36">
        <v>11</v>
      </c>
    </row>
    <row r="169" s="36" customFormat="1" ht="11.55" customHeight="1" spans="1:37">
      <c r="A169" s="946"/>
      <c r="B169" s="946"/>
      <c r="C169" s="946"/>
      <c r="D169" s="946"/>
      <c r="E169" s="946"/>
      <c r="F169" s="43"/>
      <c r="G169" s="43"/>
      <c r="N169" s="37"/>
      <c r="P169" s="37"/>
      <c r="Q169" s="43"/>
      <c r="R169" s="43"/>
      <c r="S169" s="37"/>
      <c r="T169" s="37"/>
      <c r="U169" s="37"/>
      <c r="V169" s="37"/>
      <c r="W169" s="43"/>
      <c r="X169" s="37"/>
      <c r="Y169" s="37"/>
      <c r="Z169" s="947"/>
      <c r="AA169" s="37"/>
      <c r="AB169" s="37"/>
      <c r="AC169" s="37"/>
      <c r="AD169" s="37"/>
      <c r="AE169" s="37"/>
      <c r="AF169" s="572"/>
      <c r="AG169" s="963"/>
      <c r="AH169" s="963"/>
      <c r="AI169" s="963"/>
      <c r="AJ169" s="963"/>
      <c r="AK169" s="36">
        <v>11</v>
      </c>
    </row>
    <row r="170" s="36" customFormat="1" ht="11.55" customHeight="1" spans="1:37">
      <c r="A170" s="946"/>
      <c r="B170" s="946"/>
      <c r="C170" s="946"/>
      <c r="D170" s="946"/>
      <c r="E170" s="946"/>
      <c r="F170" s="43"/>
      <c r="G170" s="43"/>
      <c r="N170" s="37"/>
      <c r="P170" s="37"/>
      <c r="Q170" s="43"/>
      <c r="R170" s="43"/>
      <c r="S170" s="37"/>
      <c r="T170" s="37"/>
      <c r="U170" s="37"/>
      <c r="V170" s="37"/>
      <c r="W170" s="43"/>
      <c r="X170" s="37"/>
      <c r="Y170" s="37"/>
      <c r="Z170" s="947"/>
      <c r="AA170" s="37"/>
      <c r="AB170" s="37"/>
      <c r="AC170" s="37"/>
      <c r="AD170" s="37"/>
      <c r="AE170" s="37"/>
      <c r="AF170" s="572"/>
      <c r="AG170" s="963"/>
      <c r="AH170" s="963"/>
      <c r="AI170" s="963"/>
      <c r="AJ170" s="963"/>
      <c r="AK170" s="36">
        <v>11</v>
      </c>
    </row>
    <row r="171" s="36" customFormat="1" ht="11.55" customHeight="1" spans="1:37">
      <c r="A171" s="946"/>
      <c r="B171" s="946"/>
      <c r="C171" s="946"/>
      <c r="D171" s="946"/>
      <c r="E171" s="946"/>
      <c r="F171" s="43"/>
      <c r="G171" s="43"/>
      <c r="N171" s="37"/>
      <c r="P171" s="37"/>
      <c r="Q171" s="43"/>
      <c r="R171" s="43"/>
      <c r="S171" s="37"/>
      <c r="T171" s="37"/>
      <c r="U171" s="37"/>
      <c r="V171" s="37"/>
      <c r="W171" s="43"/>
      <c r="X171" s="37"/>
      <c r="Y171" s="37"/>
      <c r="Z171" s="947"/>
      <c r="AA171" s="37"/>
      <c r="AB171" s="37"/>
      <c r="AC171" s="37"/>
      <c r="AD171" s="37"/>
      <c r="AE171" s="37"/>
      <c r="AF171" s="572"/>
      <c r="AG171" s="963"/>
      <c r="AH171" s="963"/>
      <c r="AI171" s="963"/>
      <c r="AJ171" s="963"/>
      <c r="AK171" s="36">
        <v>11</v>
      </c>
    </row>
    <row r="172" s="36" customFormat="1" ht="11.55" customHeight="1" spans="1:37">
      <c r="A172" s="946"/>
      <c r="B172" s="946"/>
      <c r="C172" s="946"/>
      <c r="D172" s="946"/>
      <c r="E172" s="946"/>
      <c r="F172" s="43"/>
      <c r="G172" s="43"/>
      <c r="N172" s="37"/>
      <c r="P172" s="37"/>
      <c r="Q172" s="43"/>
      <c r="R172" s="43"/>
      <c r="S172" s="37"/>
      <c r="T172" s="37"/>
      <c r="U172" s="37"/>
      <c r="V172" s="37"/>
      <c r="W172" s="43"/>
      <c r="X172" s="37"/>
      <c r="Y172" s="37"/>
      <c r="Z172" s="947"/>
      <c r="AA172" s="37"/>
      <c r="AB172" s="37"/>
      <c r="AC172" s="37"/>
      <c r="AD172" s="37"/>
      <c r="AE172" s="37"/>
      <c r="AF172" s="572"/>
      <c r="AG172" s="963"/>
      <c r="AH172" s="963"/>
      <c r="AI172" s="963"/>
      <c r="AJ172" s="963"/>
      <c r="AK172" s="36">
        <v>11</v>
      </c>
    </row>
    <row r="173" s="36" customFormat="1" ht="11.55" customHeight="1" spans="1:37">
      <c r="A173" s="946"/>
      <c r="B173" s="946"/>
      <c r="C173" s="946"/>
      <c r="D173" s="946"/>
      <c r="E173" s="946"/>
      <c r="F173" s="43"/>
      <c r="G173" s="43"/>
      <c r="N173" s="37"/>
      <c r="P173" s="37"/>
      <c r="Q173" s="43"/>
      <c r="R173" s="43"/>
      <c r="S173" s="37"/>
      <c r="T173" s="37"/>
      <c r="U173" s="37"/>
      <c r="V173" s="37"/>
      <c r="W173" s="43"/>
      <c r="X173" s="37"/>
      <c r="Y173" s="37"/>
      <c r="Z173" s="947"/>
      <c r="AA173" s="37"/>
      <c r="AB173" s="37"/>
      <c r="AC173" s="37"/>
      <c r="AD173" s="37"/>
      <c r="AE173" s="37"/>
      <c r="AF173" s="572"/>
      <c r="AG173" s="963"/>
      <c r="AH173" s="963"/>
      <c r="AI173" s="963"/>
      <c r="AJ173" s="963"/>
      <c r="AK173" s="36">
        <v>11</v>
      </c>
    </row>
    <row r="174" s="36" customFormat="1" ht="11.55" customHeight="1" spans="1:37">
      <c r="A174" s="946"/>
      <c r="B174" s="946"/>
      <c r="C174" s="946"/>
      <c r="D174" s="946"/>
      <c r="E174" s="946"/>
      <c r="F174" s="43"/>
      <c r="G174" s="43"/>
      <c r="N174" s="37"/>
      <c r="P174" s="37"/>
      <c r="Q174" s="43"/>
      <c r="R174" s="43"/>
      <c r="S174" s="37"/>
      <c r="T174" s="37"/>
      <c r="U174" s="37"/>
      <c r="V174" s="37"/>
      <c r="W174" s="43"/>
      <c r="X174" s="37"/>
      <c r="Y174" s="37"/>
      <c r="Z174" s="947"/>
      <c r="AA174" s="37"/>
      <c r="AB174" s="37"/>
      <c r="AC174" s="37"/>
      <c r="AD174" s="37"/>
      <c r="AE174" s="37"/>
      <c r="AF174" s="572"/>
      <c r="AG174" s="963"/>
      <c r="AH174" s="963"/>
      <c r="AI174" s="963"/>
      <c r="AJ174" s="963"/>
      <c r="AK174" s="36">
        <v>11</v>
      </c>
    </row>
    <row r="175" s="36" customFormat="1" ht="11.55" customHeight="1" spans="1:37">
      <c r="A175" s="946"/>
      <c r="B175" s="946"/>
      <c r="C175" s="946"/>
      <c r="D175" s="946"/>
      <c r="E175" s="946"/>
      <c r="F175" s="43"/>
      <c r="G175" s="43"/>
      <c r="N175" s="37"/>
      <c r="P175" s="37"/>
      <c r="Q175" s="43"/>
      <c r="R175" s="43"/>
      <c r="S175" s="37"/>
      <c r="T175" s="37"/>
      <c r="U175" s="37"/>
      <c r="V175" s="37"/>
      <c r="W175" s="43"/>
      <c r="X175" s="37"/>
      <c r="Y175" s="37"/>
      <c r="Z175" s="947"/>
      <c r="AA175" s="37"/>
      <c r="AB175" s="37"/>
      <c r="AC175" s="37"/>
      <c r="AD175" s="37"/>
      <c r="AE175" s="37"/>
      <c r="AF175" s="572"/>
      <c r="AG175" s="963"/>
      <c r="AH175" s="963"/>
      <c r="AI175" s="963"/>
      <c r="AJ175" s="963"/>
      <c r="AK175" s="36">
        <v>11</v>
      </c>
    </row>
    <row r="176" s="36" customFormat="1" ht="11.55" customHeight="1" spans="1:37">
      <c r="A176" s="946"/>
      <c r="B176" s="946"/>
      <c r="C176" s="946"/>
      <c r="D176" s="946"/>
      <c r="E176" s="946"/>
      <c r="F176" s="43"/>
      <c r="G176" s="43"/>
      <c r="N176" s="37"/>
      <c r="P176" s="37"/>
      <c r="Q176" s="43"/>
      <c r="R176" s="43"/>
      <c r="S176" s="37"/>
      <c r="T176" s="37"/>
      <c r="U176" s="37"/>
      <c r="V176" s="37"/>
      <c r="W176" s="43"/>
      <c r="X176" s="37"/>
      <c r="Y176" s="37"/>
      <c r="Z176" s="947"/>
      <c r="AA176" s="37"/>
      <c r="AB176" s="37"/>
      <c r="AC176" s="37"/>
      <c r="AD176" s="37"/>
      <c r="AE176" s="37"/>
      <c r="AF176" s="572"/>
      <c r="AG176" s="963"/>
      <c r="AH176" s="963"/>
      <c r="AI176" s="963"/>
      <c r="AJ176" s="963"/>
      <c r="AK176" s="36">
        <v>11</v>
      </c>
    </row>
    <row r="177" s="36" customFormat="1" ht="11.55" customHeight="1" spans="1:37">
      <c r="A177" s="946"/>
      <c r="B177" s="946"/>
      <c r="C177" s="946"/>
      <c r="D177" s="946"/>
      <c r="E177" s="946"/>
      <c r="F177" s="43"/>
      <c r="G177" s="43"/>
      <c r="N177" s="37"/>
      <c r="P177" s="37"/>
      <c r="Q177" s="43"/>
      <c r="R177" s="43"/>
      <c r="S177" s="37"/>
      <c r="T177" s="37"/>
      <c r="U177" s="37"/>
      <c r="V177" s="37"/>
      <c r="W177" s="43"/>
      <c r="X177" s="37"/>
      <c r="Y177" s="37"/>
      <c r="Z177" s="947"/>
      <c r="AA177" s="37"/>
      <c r="AB177" s="37"/>
      <c r="AC177" s="37"/>
      <c r="AD177" s="37"/>
      <c r="AE177" s="37"/>
      <c r="AF177" s="572"/>
      <c r="AG177" s="963"/>
      <c r="AH177" s="963"/>
      <c r="AI177" s="963"/>
      <c r="AJ177" s="963"/>
      <c r="AK177" s="36">
        <v>11</v>
      </c>
    </row>
    <row r="178" s="36" customFormat="1" ht="11.55" customHeight="1" spans="1:37">
      <c r="A178" s="946"/>
      <c r="B178" s="946"/>
      <c r="C178" s="946"/>
      <c r="D178" s="946"/>
      <c r="E178" s="946"/>
      <c r="F178" s="43"/>
      <c r="G178" s="43"/>
      <c r="N178" s="37"/>
      <c r="P178" s="37"/>
      <c r="Q178" s="43"/>
      <c r="R178" s="43"/>
      <c r="S178" s="37"/>
      <c r="T178" s="37"/>
      <c r="U178" s="37"/>
      <c r="V178" s="37"/>
      <c r="W178" s="43"/>
      <c r="X178" s="37"/>
      <c r="Y178" s="37"/>
      <c r="Z178" s="947"/>
      <c r="AA178" s="37"/>
      <c r="AB178" s="37"/>
      <c r="AC178" s="37"/>
      <c r="AD178" s="37"/>
      <c r="AE178" s="37"/>
      <c r="AF178" s="572"/>
      <c r="AG178" s="963"/>
      <c r="AH178" s="963"/>
      <c r="AI178" s="963"/>
      <c r="AJ178" s="963"/>
      <c r="AK178" s="36">
        <v>11</v>
      </c>
    </row>
    <row r="179" s="36" customFormat="1" ht="11.55" customHeight="1" spans="1:37">
      <c r="A179" s="946"/>
      <c r="B179" s="946"/>
      <c r="C179" s="946"/>
      <c r="D179" s="946"/>
      <c r="E179" s="946"/>
      <c r="F179" s="43"/>
      <c r="G179" s="43"/>
      <c r="N179" s="37"/>
      <c r="P179" s="37"/>
      <c r="Q179" s="43"/>
      <c r="R179" s="43"/>
      <c r="S179" s="37"/>
      <c r="T179" s="37"/>
      <c r="U179" s="37"/>
      <c r="V179" s="37"/>
      <c r="W179" s="43"/>
      <c r="X179" s="37"/>
      <c r="Y179" s="37"/>
      <c r="Z179" s="947"/>
      <c r="AA179" s="37"/>
      <c r="AB179" s="37"/>
      <c r="AC179" s="37"/>
      <c r="AD179" s="37"/>
      <c r="AE179" s="37"/>
      <c r="AF179" s="572"/>
      <c r="AG179" s="963"/>
      <c r="AH179" s="963"/>
      <c r="AI179" s="963"/>
      <c r="AJ179" s="963"/>
      <c r="AK179" s="36">
        <v>11</v>
      </c>
    </row>
    <row r="180" s="36" customFormat="1" ht="11.55" customHeight="1" spans="1:37">
      <c r="A180" s="946"/>
      <c r="B180" s="946"/>
      <c r="C180" s="946"/>
      <c r="D180" s="946"/>
      <c r="E180" s="946"/>
      <c r="F180" s="43"/>
      <c r="G180" s="43"/>
      <c r="N180" s="37"/>
      <c r="P180" s="37"/>
      <c r="Q180" s="43"/>
      <c r="R180" s="43"/>
      <c r="S180" s="37"/>
      <c r="T180" s="37"/>
      <c r="U180" s="37"/>
      <c r="V180" s="37"/>
      <c r="W180" s="43"/>
      <c r="X180" s="37"/>
      <c r="Y180" s="37"/>
      <c r="Z180" s="947"/>
      <c r="AA180" s="37"/>
      <c r="AB180" s="37"/>
      <c r="AC180" s="37"/>
      <c r="AD180" s="37"/>
      <c r="AE180" s="37"/>
      <c r="AF180" s="572"/>
      <c r="AG180" s="963"/>
      <c r="AH180" s="963"/>
      <c r="AI180" s="963"/>
      <c r="AJ180" s="963"/>
      <c r="AK180" s="36">
        <v>11</v>
      </c>
    </row>
    <row r="181" s="36" customFormat="1" ht="11.55" customHeight="1" spans="1:37">
      <c r="A181" s="946"/>
      <c r="B181" s="946"/>
      <c r="C181" s="946"/>
      <c r="D181" s="946"/>
      <c r="E181" s="946"/>
      <c r="F181" s="43"/>
      <c r="G181" s="43"/>
      <c r="N181" s="37"/>
      <c r="P181" s="37"/>
      <c r="Q181" s="43"/>
      <c r="R181" s="43"/>
      <c r="S181" s="37"/>
      <c r="T181" s="37"/>
      <c r="U181" s="37"/>
      <c r="V181" s="37"/>
      <c r="W181" s="43"/>
      <c r="X181" s="37"/>
      <c r="Y181" s="37"/>
      <c r="Z181" s="947"/>
      <c r="AA181" s="37"/>
      <c r="AB181" s="37"/>
      <c r="AC181" s="37"/>
      <c r="AD181" s="37"/>
      <c r="AE181" s="37"/>
      <c r="AF181" s="572"/>
      <c r="AG181" s="963"/>
      <c r="AH181" s="963"/>
      <c r="AI181" s="963"/>
      <c r="AJ181" s="963"/>
      <c r="AK181" s="36">
        <v>11</v>
      </c>
    </row>
    <row r="182" s="36" customFormat="1" ht="11.55" customHeight="1" spans="1:37">
      <c r="A182" s="946"/>
      <c r="B182" s="946"/>
      <c r="C182" s="946"/>
      <c r="D182" s="946"/>
      <c r="E182" s="946"/>
      <c r="F182" s="43"/>
      <c r="G182" s="43"/>
      <c r="N182" s="37"/>
      <c r="P182" s="37"/>
      <c r="Q182" s="43"/>
      <c r="R182" s="43"/>
      <c r="S182" s="37"/>
      <c r="T182" s="37"/>
      <c r="U182" s="37"/>
      <c r="V182" s="37"/>
      <c r="W182" s="43"/>
      <c r="X182" s="37"/>
      <c r="Y182" s="37"/>
      <c r="Z182" s="947"/>
      <c r="AA182" s="37"/>
      <c r="AB182" s="37"/>
      <c r="AC182" s="37"/>
      <c r="AD182" s="37"/>
      <c r="AE182" s="37"/>
      <c r="AF182" s="572"/>
      <c r="AG182" s="963"/>
      <c r="AH182" s="963"/>
      <c r="AI182" s="963"/>
      <c r="AJ182" s="963"/>
      <c r="AK182" s="36">
        <v>11</v>
      </c>
    </row>
    <row r="183" s="36" customFormat="1" ht="11.55" customHeight="1" spans="1:37">
      <c r="A183" s="946"/>
      <c r="B183" s="946"/>
      <c r="C183" s="946"/>
      <c r="D183" s="946"/>
      <c r="E183" s="946"/>
      <c r="F183" s="43"/>
      <c r="G183" s="43"/>
      <c r="N183" s="37"/>
      <c r="P183" s="37"/>
      <c r="Q183" s="43"/>
      <c r="R183" s="43"/>
      <c r="S183" s="37"/>
      <c r="T183" s="37"/>
      <c r="U183" s="37"/>
      <c r="V183" s="37"/>
      <c r="W183" s="43"/>
      <c r="X183" s="37"/>
      <c r="Y183" s="37"/>
      <c r="Z183" s="947"/>
      <c r="AA183" s="37"/>
      <c r="AB183" s="37"/>
      <c r="AC183" s="37"/>
      <c r="AD183" s="37"/>
      <c r="AE183" s="37"/>
      <c r="AF183" s="572"/>
      <c r="AG183" s="963"/>
      <c r="AH183" s="963"/>
      <c r="AI183" s="963"/>
      <c r="AJ183" s="963"/>
      <c r="AK183" s="36">
        <v>11</v>
      </c>
    </row>
    <row r="184" s="36" customFormat="1" ht="11.55" customHeight="1" spans="1:37">
      <c r="A184" s="946"/>
      <c r="B184" s="946"/>
      <c r="C184" s="946"/>
      <c r="D184" s="946"/>
      <c r="E184" s="946"/>
      <c r="F184" s="43"/>
      <c r="G184" s="43"/>
      <c r="N184" s="37"/>
      <c r="P184" s="37"/>
      <c r="Q184" s="43"/>
      <c r="R184" s="43"/>
      <c r="S184" s="37"/>
      <c r="T184" s="37"/>
      <c r="U184" s="37"/>
      <c r="V184" s="37"/>
      <c r="W184" s="43"/>
      <c r="X184" s="37"/>
      <c r="Y184" s="37"/>
      <c r="Z184" s="947"/>
      <c r="AA184" s="37"/>
      <c r="AB184" s="37"/>
      <c r="AC184" s="37"/>
      <c r="AD184" s="37"/>
      <c r="AE184" s="37"/>
      <c r="AF184" s="572"/>
      <c r="AG184" s="963"/>
      <c r="AH184" s="963"/>
      <c r="AI184" s="963"/>
      <c r="AJ184" s="963"/>
      <c r="AK184" s="36">
        <v>11</v>
      </c>
    </row>
    <row r="185" s="36" customFormat="1" ht="11.55" customHeight="1" spans="1:37">
      <c r="A185" s="946"/>
      <c r="B185" s="946"/>
      <c r="C185" s="946"/>
      <c r="D185" s="946"/>
      <c r="E185" s="946"/>
      <c r="F185" s="43"/>
      <c r="G185" s="43"/>
      <c r="N185" s="37"/>
      <c r="P185" s="37"/>
      <c r="Q185" s="43"/>
      <c r="R185" s="43"/>
      <c r="S185" s="37"/>
      <c r="T185" s="37"/>
      <c r="U185" s="37"/>
      <c r="V185" s="37"/>
      <c r="W185" s="43"/>
      <c r="X185" s="37"/>
      <c r="Y185" s="37"/>
      <c r="Z185" s="947"/>
      <c r="AA185" s="37"/>
      <c r="AB185" s="37"/>
      <c r="AC185" s="37"/>
      <c r="AD185" s="37"/>
      <c r="AE185" s="37"/>
      <c r="AF185" s="572"/>
      <c r="AG185" s="963"/>
      <c r="AH185" s="963"/>
      <c r="AI185" s="963"/>
      <c r="AJ185" s="963"/>
      <c r="AK185" s="36">
        <v>11</v>
      </c>
    </row>
    <row r="186" s="36" customFormat="1" ht="11.55" customHeight="1" spans="1:37">
      <c r="A186" s="946"/>
      <c r="B186" s="946"/>
      <c r="C186" s="946"/>
      <c r="D186" s="946"/>
      <c r="E186" s="946"/>
      <c r="F186" s="43"/>
      <c r="G186" s="43"/>
      <c r="N186" s="37"/>
      <c r="P186" s="37"/>
      <c r="Q186" s="43"/>
      <c r="R186" s="43"/>
      <c r="S186" s="37"/>
      <c r="T186" s="37"/>
      <c r="U186" s="37"/>
      <c r="V186" s="37"/>
      <c r="W186" s="43"/>
      <c r="X186" s="37"/>
      <c r="Y186" s="37"/>
      <c r="Z186" s="947"/>
      <c r="AA186" s="37"/>
      <c r="AB186" s="37"/>
      <c r="AC186" s="37"/>
      <c r="AD186" s="37"/>
      <c r="AE186" s="37"/>
      <c r="AF186" s="572"/>
      <c r="AG186" s="963"/>
      <c r="AH186" s="963"/>
      <c r="AI186" s="963"/>
      <c r="AJ186" s="963"/>
      <c r="AK186" s="36">
        <v>11</v>
      </c>
    </row>
    <row r="187" s="36" customFormat="1" ht="11.55" customHeight="1" spans="1:37">
      <c r="A187" s="946"/>
      <c r="B187" s="946"/>
      <c r="C187" s="946"/>
      <c r="D187" s="946"/>
      <c r="E187" s="946"/>
      <c r="F187" s="43"/>
      <c r="G187" s="43"/>
      <c r="N187" s="37"/>
      <c r="P187" s="37"/>
      <c r="Q187" s="43"/>
      <c r="R187" s="43"/>
      <c r="S187" s="37"/>
      <c r="T187" s="37"/>
      <c r="U187" s="37"/>
      <c r="V187" s="37"/>
      <c r="W187" s="43"/>
      <c r="X187" s="37"/>
      <c r="Y187" s="37"/>
      <c r="Z187" s="947"/>
      <c r="AA187" s="37"/>
      <c r="AB187" s="37"/>
      <c r="AC187" s="37"/>
      <c r="AD187" s="37"/>
      <c r="AE187" s="37"/>
      <c r="AF187" s="572"/>
      <c r="AG187" s="963"/>
      <c r="AH187" s="963"/>
      <c r="AI187" s="963"/>
      <c r="AJ187" s="963"/>
      <c r="AK187" s="36">
        <v>11</v>
      </c>
    </row>
    <row r="188" s="36" customFormat="1" ht="11.55" customHeight="1" spans="1:37">
      <c r="A188" s="946"/>
      <c r="B188" s="946"/>
      <c r="C188" s="946"/>
      <c r="D188" s="946"/>
      <c r="E188" s="946"/>
      <c r="F188" s="43"/>
      <c r="G188" s="43"/>
      <c r="N188" s="37"/>
      <c r="P188" s="37"/>
      <c r="Q188" s="43"/>
      <c r="R188" s="43"/>
      <c r="S188" s="37"/>
      <c r="T188" s="37"/>
      <c r="U188" s="37"/>
      <c r="V188" s="37"/>
      <c r="W188" s="43"/>
      <c r="X188" s="37"/>
      <c r="Y188" s="37"/>
      <c r="Z188" s="947"/>
      <c r="AA188" s="37"/>
      <c r="AB188" s="37"/>
      <c r="AC188" s="37"/>
      <c r="AD188" s="37"/>
      <c r="AE188" s="37"/>
      <c r="AF188" s="572"/>
      <c r="AG188" s="963"/>
      <c r="AH188" s="963"/>
      <c r="AI188" s="963"/>
      <c r="AJ188" s="963"/>
      <c r="AK188" s="36">
        <v>11</v>
      </c>
    </row>
    <row r="189" s="36" customFormat="1" ht="11.55" customHeight="1" spans="1:37">
      <c r="A189" s="946"/>
      <c r="B189" s="946"/>
      <c r="C189" s="946"/>
      <c r="D189" s="946"/>
      <c r="E189" s="946"/>
      <c r="F189" s="43"/>
      <c r="G189" s="43"/>
      <c r="N189" s="37"/>
      <c r="P189" s="37"/>
      <c r="Q189" s="43"/>
      <c r="R189" s="43"/>
      <c r="S189" s="37"/>
      <c r="T189" s="37"/>
      <c r="U189" s="37"/>
      <c r="V189" s="37"/>
      <c r="W189" s="43"/>
      <c r="X189" s="37"/>
      <c r="Y189" s="37"/>
      <c r="Z189" s="947"/>
      <c r="AA189" s="37"/>
      <c r="AB189" s="37"/>
      <c r="AC189" s="37"/>
      <c r="AD189" s="37"/>
      <c r="AE189" s="37"/>
      <c r="AF189" s="572"/>
      <c r="AG189" s="963"/>
      <c r="AH189" s="963"/>
      <c r="AI189" s="963"/>
      <c r="AJ189" s="963"/>
      <c r="AK189" s="36">
        <v>11</v>
      </c>
    </row>
    <row r="190" ht="11.55" customHeight="1" spans="37:37">
      <c r="AK190" s="42">
        <v>11</v>
      </c>
    </row>
    <row r="191" ht="11.55" customHeight="1" spans="37:37">
      <c r="AK191" s="42">
        <v>11</v>
      </c>
    </row>
    <row r="192" ht="11.55" customHeight="1" spans="37:37">
      <c r="AK192" s="42">
        <v>11</v>
      </c>
    </row>
    <row r="193" ht="11.55" customHeight="1" spans="1:37">
      <c r="A193" s="967"/>
      <c r="B193" s="967"/>
      <c r="C193" s="967"/>
      <c r="D193" s="967"/>
      <c r="E193" s="967"/>
      <c r="F193" s="42"/>
      <c r="N193" s="42"/>
      <c r="P193" s="42"/>
      <c r="S193" s="42"/>
      <c r="T193" s="42"/>
      <c r="U193" s="42"/>
      <c r="V193" s="42"/>
      <c r="X193" s="42"/>
      <c r="Y193" s="42"/>
      <c r="Z193" s="42"/>
      <c r="AA193" s="42"/>
      <c r="AB193" s="42"/>
      <c r="AC193" s="42"/>
      <c r="AD193" s="42"/>
      <c r="AE193" s="42"/>
      <c r="AF193" s="42"/>
      <c r="AG193" s="42"/>
      <c r="AH193" s="42"/>
      <c r="AI193" s="42"/>
      <c r="AJ193" s="42"/>
      <c r="AK193" s="42">
        <v>11</v>
      </c>
    </row>
    <row r="194" ht="11.55" customHeight="1" spans="1:37">
      <c r="A194" s="967"/>
      <c r="B194" s="967"/>
      <c r="C194" s="967"/>
      <c r="D194" s="967"/>
      <c r="E194" s="967"/>
      <c r="F194" s="42"/>
      <c r="N194" s="42"/>
      <c r="P194" s="42"/>
      <c r="S194" s="42"/>
      <c r="T194" s="42"/>
      <c r="U194" s="42"/>
      <c r="V194" s="42"/>
      <c r="X194" s="42"/>
      <c r="Y194" s="42"/>
      <c r="Z194" s="42"/>
      <c r="AA194" s="42"/>
      <c r="AB194" s="42"/>
      <c r="AC194" s="42"/>
      <c r="AD194" s="42"/>
      <c r="AE194" s="42"/>
      <c r="AF194" s="42"/>
      <c r="AG194" s="42"/>
      <c r="AH194" s="42"/>
      <c r="AI194" s="42"/>
      <c r="AJ194" s="42"/>
      <c r="AK194" s="42">
        <v>11</v>
      </c>
    </row>
    <row r="195" ht="11.55" customHeight="1" spans="1:37">
      <c r="A195" s="967"/>
      <c r="B195" s="967"/>
      <c r="C195" s="967"/>
      <c r="D195" s="967"/>
      <c r="E195" s="967"/>
      <c r="F195" s="42"/>
      <c r="N195" s="42"/>
      <c r="P195" s="42"/>
      <c r="S195" s="42"/>
      <c r="T195" s="42"/>
      <c r="U195" s="42"/>
      <c r="V195" s="42"/>
      <c r="X195" s="42"/>
      <c r="Y195" s="42"/>
      <c r="Z195" s="42"/>
      <c r="AA195" s="42"/>
      <c r="AB195" s="42"/>
      <c r="AC195" s="42"/>
      <c r="AD195" s="42"/>
      <c r="AE195" s="42"/>
      <c r="AF195" s="42"/>
      <c r="AG195" s="42"/>
      <c r="AH195" s="42"/>
      <c r="AI195" s="42"/>
      <c r="AJ195" s="42"/>
      <c r="AK195" s="42">
        <v>11</v>
      </c>
    </row>
    <row r="196" ht="11.55" customHeight="1" spans="1:37">
      <c r="A196" s="967"/>
      <c r="B196" s="967"/>
      <c r="C196" s="967"/>
      <c r="D196" s="967"/>
      <c r="E196" s="967"/>
      <c r="F196" s="42"/>
      <c r="N196" s="42"/>
      <c r="P196" s="42"/>
      <c r="S196" s="42"/>
      <c r="T196" s="42"/>
      <c r="U196" s="42"/>
      <c r="V196" s="42"/>
      <c r="X196" s="42"/>
      <c r="Y196" s="42"/>
      <c r="Z196" s="42"/>
      <c r="AA196" s="42"/>
      <c r="AB196" s="42"/>
      <c r="AC196" s="42"/>
      <c r="AD196" s="42"/>
      <c r="AE196" s="42"/>
      <c r="AF196" s="42"/>
      <c r="AG196" s="42"/>
      <c r="AH196" s="42"/>
      <c r="AI196" s="42"/>
      <c r="AJ196" s="42"/>
      <c r="AK196" s="42">
        <v>11</v>
      </c>
    </row>
    <row r="197" ht="11.55" customHeight="1" spans="1:37">
      <c r="A197" s="967"/>
      <c r="B197" s="967"/>
      <c r="C197" s="967"/>
      <c r="D197" s="967"/>
      <c r="E197" s="967"/>
      <c r="F197" s="42"/>
      <c r="N197" s="42"/>
      <c r="P197" s="42"/>
      <c r="S197" s="42"/>
      <c r="T197" s="42"/>
      <c r="U197" s="42"/>
      <c r="V197" s="42"/>
      <c r="X197" s="42"/>
      <c r="Y197" s="42"/>
      <c r="Z197" s="42"/>
      <c r="AA197" s="42"/>
      <c r="AB197" s="42"/>
      <c r="AC197" s="42"/>
      <c r="AD197" s="42"/>
      <c r="AE197" s="42"/>
      <c r="AF197" s="42"/>
      <c r="AG197" s="42"/>
      <c r="AH197" s="42"/>
      <c r="AI197" s="42"/>
      <c r="AJ197" s="42"/>
      <c r="AK197" s="42">
        <v>11</v>
      </c>
    </row>
    <row r="198" ht="11.55" customHeight="1" spans="1:37">
      <c r="A198" s="967"/>
      <c r="B198" s="967"/>
      <c r="C198" s="967"/>
      <c r="D198" s="967"/>
      <c r="E198" s="967"/>
      <c r="F198" s="42"/>
      <c r="N198" s="42"/>
      <c r="P198" s="42"/>
      <c r="S198" s="42"/>
      <c r="T198" s="42"/>
      <c r="U198" s="42"/>
      <c r="V198" s="42"/>
      <c r="X198" s="42"/>
      <c r="Y198" s="42"/>
      <c r="Z198" s="42"/>
      <c r="AA198" s="42"/>
      <c r="AB198" s="42"/>
      <c r="AC198" s="42"/>
      <c r="AD198" s="42"/>
      <c r="AE198" s="42"/>
      <c r="AF198" s="42"/>
      <c r="AG198" s="42"/>
      <c r="AH198" s="42"/>
      <c r="AI198" s="42"/>
      <c r="AJ198" s="42"/>
      <c r="AK198" s="42">
        <v>11</v>
      </c>
    </row>
    <row r="199" ht="11.55" customHeight="1" spans="1:37">
      <c r="A199" s="967"/>
      <c r="B199" s="967"/>
      <c r="C199" s="967"/>
      <c r="D199" s="967"/>
      <c r="E199" s="967"/>
      <c r="F199" s="42"/>
      <c r="N199" s="42"/>
      <c r="P199" s="42"/>
      <c r="S199" s="42"/>
      <c r="T199" s="42"/>
      <c r="U199" s="42"/>
      <c r="V199" s="42"/>
      <c r="X199" s="42"/>
      <c r="Y199" s="42"/>
      <c r="Z199" s="42"/>
      <c r="AA199" s="42"/>
      <c r="AB199" s="42"/>
      <c r="AC199" s="42"/>
      <c r="AD199" s="42"/>
      <c r="AE199" s="42"/>
      <c r="AF199" s="42"/>
      <c r="AG199" s="42"/>
      <c r="AH199" s="42"/>
      <c r="AI199" s="42"/>
      <c r="AJ199" s="42"/>
      <c r="AK199" s="42">
        <v>11</v>
      </c>
    </row>
    <row r="200" ht="11.55" customHeight="1" spans="1:37">
      <c r="A200" s="967"/>
      <c r="B200" s="967"/>
      <c r="C200" s="967"/>
      <c r="D200" s="967"/>
      <c r="E200" s="967"/>
      <c r="F200" s="42"/>
      <c r="N200" s="42"/>
      <c r="P200" s="42"/>
      <c r="S200" s="42"/>
      <c r="T200" s="42"/>
      <c r="U200" s="42"/>
      <c r="V200" s="42"/>
      <c r="X200" s="42"/>
      <c r="Y200" s="42"/>
      <c r="Z200" s="42"/>
      <c r="AA200" s="42"/>
      <c r="AB200" s="42"/>
      <c r="AC200" s="42"/>
      <c r="AD200" s="42"/>
      <c r="AE200" s="42"/>
      <c r="AF200" s="42"/>
      <c r="AG200" s="42"/>
      <c r="AH200" s="42"/>
      <c r="AI200" s="42"/>
      <c r="AJ200" s="42"/>
      <c r="AK200" s="42">
        <v>11</v>
      </c>
    </row>
    <row r="201" ht="11.55" customHeight="1" spans="1:37">
      <c r="A201" s="967"/>
      <c r="B201" s="967"/>
      <c r="C201" s="967"/>
      <c r="D201" s="967"/>
      <c r="E201" s="967"/>
      <c r="F201" s="42"/>
      <c r="N201" s="42"/>
      <c r="P201" s="42"/>
      <c r="S201" s="42"/>
      <c r="T201" s="42"/>
      <c r="U201" s="42"/>
      <c r="V201" s="42"/>
      <c r="X201" s="42"/>
      <c r="Y201" s="42"/>
      <c r="Z201" s="42"/>
      <c r="AA201" s="42"/>
      <c r="AB201" s="42"/>
      <c r="AC201" s="42"/>
      <c r="AD201" s="42"/>
      <c r="AE201" s="42"/>
      <c r="AF201" s="42"/>
      <c r="AG201" s="42"/>
      <c r="AH201" s="42"/>
      <c r="AI201" s="42"/>
      <c r="AJ201" s="42"/>
      <c r="AK201" s="42">
        <v>11</v>
      </c>
    </row>
    <row r="202" ht="11.55" customHeight="1" spans="1:37">
      <c r="A202" s="967"/>
      <c r="B202" s="967"/>
      <c r="C202" s="967"/>
      <c r="D202" s="967"/>
      <c r="E202" s="967"/>
      <c r="F202" s="42"/>
      <c r="N202" s="42"/>
      <c r="P202" s="42"/>
      <c r="S202" s="42"/>
      <c r="T202" s="42"/>
      <c r="U202" s="42"/>
      <c r="V202" s="42"/>
      <c r="X202" s="42"/>
      <c r="Y202" s="42"/>
      <c r="Z202" s="42"/>
      <c r="AA202" s="42"/>
      <c r="AB202" s="42"/>
      <c r="AC202" s="42"/>
      <c r="AD202" s="42"/>
      <c r="AE202" s="42"/>
      <c r="AF202" s="42"/>
      <c r="AG202" s="42"/>
      <c r="AH202" s="42"/>
      <c r="AI202" s="42"/>
      <c r="AJ202" s="42"/>
      <c r="AK202" s="42">
        <v>11</v>
      </c>
    </row>
    <row r="203" ht="11.55" customHeight="1" spans="1:37">
      <c r="A203" s="967"/>
      <c r="B203" s="967"/>
      <c r="C203" s="967"/>
      <c r="D203" s="967"/>
      <c r="E203" s="967"/>
      <c r="F203" s="42"/>
      <c r="N203" s="42"/>
      <c r="P203" s="42"/>
      <c r="S203" s="42"/>
      <c r="T203" s="42"/>
      <c r="U203" s="42"/>
      <c r="V203" s="42"/>
      <c r="X203" s="42"/>
      <c r="Y203" s="42"/>
      <c r="Z203" s="42"/>
      <c r="AA203" s="42"/>
      <c r="AB203" s="42"/>
      <c r="AC203" s="42"/>
      <c r="AD203" s="42"/>
      <c r="AE203" s="42"/>
      <c r="AF203" s="42"/>
      <c r="AG203" s="42"/>
      <c r="AH203" s="42"/>
      <c r="AI203" s="42"/>
      <c r="AJ203" s="42"/>
      <c r="AK203" s="42">
        <v>11</v>
      </c>
    </row>
    <row r="204" ht="12.75" hidden="1" customHeight="1" spans="1:37">
      <c r="A204" s="946" t="s">
        <v>83</v>
      </c>
      <c r="B204" s="946" t="s">
        <v>151</v>
      </c>
      <c r="C204" s="946" t="s">
        <v>151</v>
      </c>
      <c r="D204" s="946" t="s">
        <v>151</v>
      </c>
      <c r="E204" s="946" t="s">
        <v>151</v>
      </c>
      <c r="F204" s="42">
        <v>16</v>
      </c>
      <c r="G204" s="43">
        <v>0</v>
      </c>
      <c r="H204" s="42">
        <v>3</v>
      </c>
      <c r="I204" s="42">
        <v>7</v>
      </c>
      <c r="J204" s="42">
        <v>56</v>
      </c>
      <c r="K204" s="42">
        <v>10</v>
      </c>
      <c r="L204" s="42">
        <v>40</v>
      </c>
      <c r="M204" s="42">
        <v>40</v>
      </c>
      <c r="N204" s="37">
        <v>9</v>
      </c>
      <c r="O204" s="42">
        <v>102</v>
      </c>
      <c r="P204" s="37">
        <v>9</v>
      </c>
      <c r="Q204" s="43">
        <v>5</v>
      </c>
      <c r="R204" s="43">
        <v>3</v>
      </c>
      <c r="S204" s="37">
        <v>3</v>
      </c>
      <c r="T204" s="37">
        <v>3</v>
      </c>
      <c r="U204" s="37">
        <v>3</v>
      </c>
      <c r="V204" s="37">
        <v>3</v>
      </c>
      <c r="W204" s="43">
        <v>10</v>
      </c>
      <c r="X204" s="37">
        <v>34</v>
      </c>
      <c r="Y204" s="37">
        <v>9</v>
      </c>
      <c r="Z204" s="947">
        <v>8</v>
      </c>
      <c r="AA204" s="37">
        <v>8</v>
      </c>
      <c r="AB204" s="37">
        <v>8</v>
      </c>
      <c r="AC204" s="37">
        <v>8</v>
      </c>
      <c r="AD204" s="37">
        <v>8</v>
      </c>
      <c r="AE204" s="37">
        <v>8</v>
      </c>
      <c r="AF204" s="572">
        <v>8</v>
      </c>
      <c r="AG204" s="572">
        <v>8</v>
      </c>
      <c r="AH204" s="572">
        <v>8</v>
      </c>
      <c r="AI204" s="572">
        <v>8</v>
      </c>
      <c r="AJ204" s="572">
        <v>8</v>
      </c>
      <c r="AK204" s="42">
        <v>11</v>
      </c>
    </row>
  </sheetData>
  <sheetProtection insertRows="0" deleteColumns="0" deleteRows="0" sort="0" autoFilter="0"/>
  <mergeCells count="7">
    <mergeCell ref="I6:M6"/>
    <mergeCell ref="I7:M7"/>
    <mergeCell ref="J10:K10"/>
    <mergeCell ref="J11:K11"/>
    <mergeCell ref="J12:K12"/>
    <mergeCell ref="I13:K13"/>
    <mergeCell ref="O10:O14"/>
  </mergeCells>
  <dataValidations count="4">
    <dataValidation type="decimal" operator="between" allowBlank="1" showErrorMessage="1" errorTitle="Ошибка" error="Допускается ввод только неотрицательных чисел!" sqref="L2:M2 L16:M16 L19:M29 L32:M33">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operator="between" allowBlank="1" showErrorMessage="1" errorTitle="Ошибка" error="Допускается ввод только неотрицательных целых чисел!" sqref="L30:M31">
      <formula1>0</formula1>
      <formula2>9.99999999999999E+23</formula2>
    </dataValidation>
  </dataValidations>
  <pageMargins left="0.7" right="0.7" top="0.75" bottom="0.75" header="0.3" footer="0.3"/>
  <pageSetup paperSize="9" orientation="portrait"/>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W16"/>
  <sheetViews>
    <sheetView showGridLines="0" zoomScale="90" zoomScaleNormal="90" workbookViewId="0">
      <pane xSplit="11" ySplit="9" topLeftCell="L10" activePane="bottomRight" state="frozen"/>
      <selection/>
      <selection pane="topRight"/>
      <selection pane="bottomLeft"/>
      <selection pane="bottomRight" activeCell="A1" sqref="A1"/>
    </sheetView>
  </sheetViews>
  <sheetFormatPr defaultColWidth="10.5714285714286" defaultRowHeight="14.25" customHeight="1"/>
  <cols>
    <col min="1" max="4" width="10.5714285714286" style="42" hidden="1"/>
    <col min="5" max="5" width="9.14285714285714" style="39" hidden="1" customWidth="1"/>
    <col min="6" max="7" width="9.14285714285714" style="37" hidden="1" customWidth="1"/>
    <col min="8" max="8" width="3" style="40" customWidth="1"/>
    <col min="9" max="9" width="6" style="42" customWidth="1"/>
    <col min="10" max="10" width="63" style="42" customWidth="1"/>
    <col min="11" max="11" width="9" style="42" customWidth="1"/>
    <col min="12" max="12" width="39" style="42" customWidth="1"/>
    <col min="13" max="13" width="89" style="42" customWidth="1"/>
    <col min="14" max="14" width="10" style="42" customWidth="1"/>
    <col min="15" max="16" width="10" style="150" customWidth="1"/>
    <col min="17" max="22" width="10" style="42" customWidth="1"/>
    <col min="23" max="23" width="10.5714285714286" style="42" hidden="1"/>
  </cols>
  <sheetData>
    <row r="1" ht="22.5" hidden="1" customHeight="1" spans="19:23">
      <c r="S1" s="782"/>
      <c r="T1" s="782"/>
      <c r="V1" s="782"/>
      <c r="W1" s="42" t="s">
        <v>14</v>
      </c>
    </row>
    <row r="2" ht="22.5" hidden="1" customHeight="1" spans="2:23">
      <c r="B2" s="973" t="s">
        <v>697</v>
      </c>
      <c r="C2" s="973" t="s">
        <v>698</v>
      </c>
      <c r="D2" s="974" t="s">
        <v>637</v>
      </c>
      <c r="E2" s="975">
        <f>I2-3</f>
        <v>-3</v>
      </c>
      <c r="F2" s="975">
        <f>J2</f>
        <v>0</v>
      </c>
      <c r="H2" s="650" t="s">
        <v>521</v>
      </c>
      <c r="I2" s="294"/>
      <c r="J2" s="242"/>
      <c r="K2" s="127" t="s">
        <v>311</v>
      </c>
      <c r="L2" s="575"/>
      <c r="M2" s="805"/>
      <c r="N2" s="150"/>
      <c r="P2" s="42"/>
      <c r="W2" s="42">
        <v>0</v>
      </c>
    </row>
    <row r="3" hidden="1" customHeight="1" spans="23:23">
      <c r="W3" s="42">
        <v>0</v>
      </c>
    </row>
    <row r="4" ht="6.3" customHeight="1" spans="8:23">
      <c r="H4" s="50"/>
      <c r="I4" s="52"/>
      <c r="J4" s="52"/>
      <c r="K4" s="52"/>
      <c r="L4" s="766"/>
      <c r="M4" s="766"/>
      <c r="W4" s="42">
        <v>6</v>
      </c>
    </row>
    <row r="5" ht="50.25" customHeight="1" spans="8:23">
      <c r="H5" s="50"/>
      <c r="I5" s="750" t="s">
        <v>699</v>
      </c>
      <c r="J5" s="750"/>
      <c r="K5" s="750"/>
      <c r="L5" s="750"/>
      <c r="M5" s="578"/>
      <c r="W5" s="42">
        <v>48</v>
      </c>
    </row>
    <row r="6" ht="18" customHeight="1" spans="8:23">
      <c r="H6" s="50"/>
      <c r="I6" s="657" t="str">
        <f>IF(org=0,"Не определено",org)</f>
        <v>АО "ОЭЗ ППТ "Алабуга"</v>
      </c>
      <c r="J6" s="657"/>
      <c r="K6" s="657"/>
      <c r="L6" s="657"/>
      <c r="M6" s="578"/>
      <c r="W6" s="42">
        <v>17</v>
      </c>
    </row>
    <row r="7" ht="14.7" customHeight="1" spans="8:23">
      <c r="H7" s="50"/>
      <c r="I7" s="52"/>
      <c r="J7" s="659"/>
      <c r="K7" s="659"/>
      <c r="L7" s="574"/>
      <c r="M7" s="772"/>
      <c r="W7" s="42">
        <v>14</v>
      </c>
    </row>
    <row r="8" ht="14.7" customHeight="1" spans="8:23">
      <c r="H8" s="50"/>
      <c r="I8" s="256" t="s">
        <v>305</v>
      </c>
      <c r="J8" s="802"/>
      <c r="K8" s="802"/>
      <c r="L8" s="844"/>
      <c r="M8" s="211" t="s">
        <v>306</v>
      </c>
      <c r="W8" s="42">
        <v>14</v>
      </c>
    </row>
    <row r="9" ht="35.7" customHeight="1" spans="5:23">
      <c r="E9" s="976" t="s">
        <v>628</v>
      </c>
      <c r="F9" s="976" t="s">
        <v>634</v>
      </c>
      <c r="H9" s="50"/>
      <c r="I9" s="65" t="s">
        <v>89</v>
      </c>
      <c r="J9" s="130" t="s">
        <v>307</v>
      </c>
      <c r="K9" s="131" t="s">
        <v>576</v>
      </c>
      <c r="L9" s="130" t="s">
        <v>308</v>
      </c>
      <c r="M9" s="211"/>
      <c r="W9" s="42">
        <v>34</v>
      </c>
    </row>
    <row r="10" ht="35.7" customHeight="1" spans="2:23">
      <c r="B10" s="973" t="s">
        <v>700</v>
      </c>
      <c r="C10" s="973" t="s">
        <v>701</v>
      </c>
      <c r="D10" s="974" t="s">
        <v>637</v>
      </c>
      <c r="E10" s="975" t="s">
        <v>638</v>
      </c>
      <c r="F10" s="975" t="s">
        <v>638</v>
      </c>
      <c r="H10" s="50"/>
      <c r="I10" s="294" t="s">
        <v>111</v>
      </c>
      <c r="J10" s="773" t="s">
        <v>702</v>
      </c>
      <c r="K10" s="127" t="s">
        <v>311</v>
      </c>
      <c r="L10" s="625"/>
      <c r="M10" s="805" t="s">
        <v>703</v>
      </c>
      <c r="W10" s="42">
        <v>34</v>
      </c>
    </row>
    <row r="11" ht="50.25" customHeight="1" spans="2:23">
      <c r="B11" s="973" t="s">
        <v>704</v>
      </c>
      <c r="C11" s="973" t="s">
        <v>705</v>
      </c>
      <c r="D11" s="974" t="s">
        <v>637</v>
      </c>
      <c r="E11" s="975" t="s">
        <v>638</v>
      </c>
      <c r="F11" s="975" t="s">
        <v>638</v>
      </c>
      <c r="H11" s="50"/>
      <c r="I11" s="294" t="s">
        <v>112</v>
      </c>
      <c r="J11" s="773" t="s">
        <v>706</v>
      </c>
      <c r="K11" s="127" t="s">
        <v>311</v>
      </c>
      <c r="L11" s="625"/>
      <c r="M11" s="805" t="s">
        <v>703</v>
      </c>
      <c r="W11" s="42">
        <v>48</v>
      </c>
    </row>
    <row r="12" ht="48.3" customHeight="1" spans="2:23">
      <c r="B12" s="973" t="s">
        <v>707</v>
      </c>
      <c r="C12" s="973" t="s">
        <v>708</v>
      </c>
      <c r="D12" s="974" t="s">
        <v>637</v>
      </c>
      <c r="E12" s="975" t="s">
        <v>638</v>
      </c>
      <c r="F12" s="975" t="s">
        <v>638</v>
      </c>
      <c r="H12" s="210"/>
      <c r="I12" s="294" t="s">
        <v>91</v>
      </c>
      <c r="J12" s="464" t="s">
        <v>709</v>
      </c>
      <c r="K12" s="127" t="s">
        <v>311</v>
      </c>
      <c r="L12" s="625"/>
      <c r="M12" s="805" t="s">
        <v>710</v>
      </c>
      <c r="N12" s="150"/>
      <c r="P12" s="42"/>
      <c r="W12" s="42">
        <v>46</v>
      </c>
    </row>
    <row r="13" ht="14.7" customHeight="1" spans="5:23">
      <c r="E13" s="80"/>
      <c r="H13" s="50"/>
      <c r="I13" s="400"/>
      <c r="J13" s="331" t="s">
        <v>711</v>
      </c>
      <c r="K13" s="775"/>
      <c r="L13" s="577"/>
      <c r="M13" s="805"/>
      <c r="W13" s="42">
        <v>14</v>
      </c>
    </row>
    <row r="14" ht="14.7" customHeight="1" spans="5:23">
      <c r="E14" s="80"/>
      <c r="H14" s="50"/>
      <c r="I14" s="776"/>
      <c r="J14" s="777"/>
      <c r="K14" s="778"/>
      <c r="L14" s="779"/>
      <c r="M14" s="119"/>
      <c r="W14" s="42">
        <v>14</v>
      </c>
    </row>
    <row r="15" ht="14.7" customHeight="1" spans="9:23">
      <c r="I15" s="781"/>
      <c r="J15" s="119"/>
      <c r="K15" s="119"/>
      <c r="L15" s="119"/>
      <c r="M15" s="119"/>
      <c r="W15" s="42">
        <v>14</v>
      </c>
    </row>
    <row r="16" ht="21" hidden="1" customHeight="1" spans="1:23">
      <c r="A16" s="39" t="s">
        <v>83</v>
      </c>
      <c r="B16" s="42">
        <v>9</v>
      </c>
      <c r="C16" s="42">
        <v>9</v>
      </c>
      <c r="D16" s="42">
        <v>9</v>
      </c>
      <c r="E16" s="39" t="s">
        <v>150</v>
      </c>
      <c r="F16" s="39" t="s">
        <v>150</v>
      </c>
      <c r="G16" s="39"/>
      <c r="H16" s="40">
        <v>3</v>
      </c>
      <c r="I16" s="42">
        <v>6</v>
      </c>
      <c r="J16" s="42">
        <v>63</v>
      </c>
      <c r="K16" s="42">
        <v>9</v>
      </c>
      <c r="L16" s="42">
        <v>39</v>
      </c>
      <c r="M16" s="42">
        <v>89</v>
      </c>
      <c r="N16" s="42">
        <v>10</v>
      </c>
      <c r="O16" s="150">
        <v>10</v>
      </c>
      <c r="P16" s="150">
        <v>10</v>
      </c>
      <c r="Q16" s="42">
        <v>10</v>
      </c>
      <c r="R16" s="42">
        <v>10</v>
      </c>
      <c r="S16" s="42">
        <v>10</v>
      </c>
      <c r="T16" s="42">
        <v>10</v>
      </c>
      <c r="U16" s="42">
        <v>10</v>
      </c>
      <c r="V16" s="42">
        <v>10</v>
      </c>
      <c r="W16" s="42">
        <v>23</v>
      </c>
    </row>
  </sheetData>
  <sheetProtection formatColumns="0" formatRows="0" insertRows="0" deleteColumns="0" deleteRows="0" sort="0" autoFilter="0"/>
  <mergeCells count="5">
    <mergeCell ref="I5:L5"/>
    <mergeCell ref="I6:L6"/>
    <mergeCell ref="I8:L8"/>
    <mergeCell ref="J15:M15"/>
    <mergeCell ref="M8:M9"/>
  </mergeCells>
  <dataValidations count="2">
    <dataValidation type="textLength" operator="lessThanOrEqual" allowBlank="1" showInputMessage="1" showErrorMessage="1" errorTitle="Ошибка" error="Допускается ввод не более 900 символов!" sqref="J2 M1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paperSize="1" orientation="portrait"/>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F217"/>
  <sheetViews>
    <sheetView showGridLines="0" zoomScale="90" zoomScaleNormal="90" workbookViewId="0">
      <pane xSplit="8" ySplit="14" topLeftCell="I15" activePane="bottomRight" state="frozen"/>
      <selection/>
      <selection pane="topRight"/>
      <selection pane="bottomLeft"/>
      <selection pane="bottomRight" activeCell="A1" sqref="A1"/>
    </sheetView>
  </sheetViews>
  <sheetFormatPr defaultColWidth="9.14285714285714" defaultRowHeight="11.25" customHeight="1"/>
  <cols>
    <col min="1" max="1" width="10.7142857142857" style="946" hidden="1" customWidth="1"/>
    <col min="2" max="2" width="16.847619047619" style="37" hidden="1" customWidth="1"/>
    <col min="3" max="3" width="5.57142857142857" style="43" hidden="1" customWidth="1"/>
    <col min="4" max="4" width="3" style="42" customWidth="1"/>
    <col min="5" max="5" width="7" style="42" customWidth="1"/>
    <col min="6" max="6" width="56" style="42" customWidth="1"/>
    <col min="7" max="7" width="10" style="42" customWidth="1"/>
    <col min="8" max="8" width="40.7142857142857" style="42" hidden="1" customWidth="1"/>
    <col min="9" max="9" width="40" style="42" customWidth="1"/>
    <col min="10" max="10" width="102" style="42" customWidth="1"/>
    <col min="11" max="11" width="9" style="37" customWidth="1"/>
    <col min="12" max="12" width="5" style="43" customWidth="1"/>
    <col min="13" max="13" width="3" style="43" customWidth="1"/>
    <col min="14" max="17" width="3" style="37" customWidth="1"/>
    <col min="18" max="18" width="10" style="43" customWidth="1"/>
    <col min="19" max="19" width="34" style="37" customWidth="1"/>
    <col min="20" max="20" width="9" style="37" customWidth="1"/>
    <col min="21" max="21" width="8" style="947" customWidth="1"/>
    <col min="22" max="26" width="8" style="37" customWidth="1"/>
    <col min="27" max="31" width="8" style="572" customWidth="1"/>
    <col min="32" max="32" width="10.4190476190476" style="42" hidden="1" customWidth="1"/>
  </cols>
  <sheetData>
    <row r="1" s="37" customFormat="1" ht="22.5" hidden="1" customHeight="1" spans="1:32">
      <c r="A1" s="946"/>
      <c r="C1" s="43"/>
      <c r="H1" s="37">
        <v>4</v>
      </c>
      <c r="I1" s="37">
        <v>4</v>
      </c>
      <c r="L1" s="43"/>
      <c r="M1" s="43"/>
      <c r="R1" s="43"/>
      <c r="AF1" s="37" t="s">
        <v>14</v>
      </c>
    </row>
    <row r="2" s="37" customFormat="1" ht="22.5" hidden="1" customHeight="1" spans="1:32">
      <c r="A2" s="946"/>
      <c r="C2" s="43"/>
      <c r="D2" s="824"/>
      <c r="E2" s="63"/>
      <c r="F2" s="218"/>
      <c r="G2" s="63" t="s">
        <v>562</v>
      </c>
      <c r="H2" s="101"/>
      <c r="I2" s="101"/>
      <c r="J2" s="964" t="s">
        <v>712</v>
      </c>
      <c r="K2" s="965"/>
      <c r="L2" s="43"/>
      <c r="M2" s="43"/>
      <c r="R2" s="43"/>
      <c r="U2" s="947"/>
      <c r="AA2" s="572"/>
      <c r="AB2" s="572"/>
      <c r="AC2" s="572"/>
      <c r="AD2" s="572"/>
      <c r="AE2" s="572"/>
      <c r="AF2" s="37">
        <v>0</v>
      </c>
    </row>
    <row r="3" hidden="1" customHeight="1" spans="32:32">
      <c r="AF3" s="42">
        <v>0</v>
      </c>
    </row>
    <row r="4" s="572" customFormat="1" hidden="1" customHeight="1" spans="1:32">
      <c r="A4" s="946"/>
      <c r="B4" s="37"/>
      <c r="C4" s="43"/>
      <c r="J4" s="572">
        <v>4</v>
      </c>
      <c r="K4" s="37"/>
      <c r="L4" s="43"/>
      <c r="M4" s="43"/>
      <c r="N4" s="37"/>
      <c r="O4" s="37"/>
      <c r="P4" s="37"/>
      <c r="Q4" s="37"/>
      <c r="R4" s="43"/>
      <c r="S4" s="37"/>
      <c r="T4" s="37"/>
      <c r="U4" s="947"/>
      <c r="V4" s="37"/>
      <c r="W4" s="37"/>
      <c r="X4" s="37"/>
      <c r="Y4" s="37"/>
      <c r="Z4" s="37"/>
      <c r="AF4" s="572">
        <v>0</v>
      </c>
    </row>
    <row r="5" ht="11.55" customHeight="1" spans="32:32">
      <c r="AF5" s="42">
        <v>11</v>
      </c>
    </row>
    <row r="6" ht="31.5" customHeight="1" spans="5:32">
      <c r="E6" s="968" t="s">
        <v>713</v>
      </c>
      <c r="F6" s="968"/>
      <c r="G6" s="968"/>
      <c r="H6" s="968"/>
      <c r="I6" s="968"/>
      <c r="J6" s="120"/>
      <c r="AF6" s="42">
        <v>30</v>
      </c>
    </row>
    <row r="7" ht="11.55" customHeight="1" spans="5:32">
      <c r="E7" s="657" t="str">
        <f>IF(org=0,"Не определено",org)</f>
        <v>АО "ОЭЗ ППТ "Алабуга"</v>
      </c>
      <c r="F7" s="657"/>
      <c r="G7" s="657"/>
      <c r="H7" s="657"/>
      <c r="I7" s="657"/>
      <c r="AF7" s="42">
        <v>11</v>
      </c>
    </row>
    <row r="8" ht="11.55" customHeight="1" spans="5:32">
      <c r="E8" s="889"/>
      <c r="F8" s="889"/>
      <c r="G8" s="889"/>
      <c r="H8" s="889"/>
      <c r="I8" s="889"/>
      <c r="AF8" s="42">
        <v>11</v>
      </c>
    </row>
    <row r="9" s="43" customFormat="1" ht="4.2" customHeight="1" spans="1:32">
      <c r="A9" s="306"/>
      <c r="H9" s="948"/>
      <c r="I9" s="948" t="s">
        <v>119</v>
      </c>
      <c r="AF9" s="43">
        <v>4</v>
      </c>
    </row>
    <row r="10" ht="11.55" customHeight="1" spans="5:32">
      <c r="E10" s="751"/>
      <c r="F10" s="752" t="s">
        <v>107</v>
      </c>
      <c r="G10" s="753"/>
      <c r="H10" s="912" t="str">
        <f>IF(H9="","",INDEX(DIFFERENTIATION_UNMERGE_VD,MATCH(H9,DIFFERENTIATION_ID_DIFF,0)))</f>
        <v/>
      </c>
      <c r="I10" s="912">
        <f>IF(I9="","",INDEX(DIFFERENTIATION_UNMERGE_VD,MATCH(I9,DIFFERENTIATION_ID_DIFF,0)))</f>
        <v>0</v>
      </c>
      <c r="J10" s="63"/>
      <c r="AF10" s="42">
        <v>11</v>
      </c>
    </row>
    <row r="11" ht="11.55" customHeight="1" spans="5:32">
      <c r="E11" s="751"/>
      <c r="F11" s="752" t="s">
        <v>574</v>
      </c>
      <c r="G11" s="753"/>
      <c r="H11" s="912" t="str">
        <f>IF(H9="","",INDEX(DIFFERENTIATION_UNMERGE_AREA,MATCH(H9,DIFFERENTIATION_ID_DIFF,0)))</f>
        <v/>
      </c>
      <c r="I11" s="912" t="str">
        <f>IF(I9="","",INDEX(DIFFERENTIATION_UNMERGE_AREA,MATCH(I9,DIFFERENTIATION_ID_DIFF,0)))</f>
        <v/>
      </c>
      <c r="J11" s="63"/>
      <c r="AF11" s="42">
        <v>11</v>
      </c>
    </row>
    <row r="12" ht="1.05" customHeight="1" spans="5:32">
      <c r="E12" s="949"/>
      <c r="F12" s="950" t="s">
        <v>575</v>
      </c>
      <c r="G12" s="951"/>
      <c r="H12" s="952" t="str">
        <f>IF(H9="","",INDEX(DIFFERENTIATION_UNMERGE_SYSTEM,MATCH(H9,DIFFERENTIATION_ID_DIFF,0)))</f>
        <v/>
      </c>
      <c r="I12" s="952" t="str">
        <f>IF(I9="","",INDEX(DIFFERENTIATION_UNMERGE_SYSTEM,MATCH(I9,DIFFERENTIATION_ID_DIFF,0)))</f>
        <v>без дифференциации</v>
      </c>
      <c r="J12" s="63"/>
      <c r="AF12" s="42">
        <v>1</v>
      </c>
    </row>
    <row r="13" ht="11.55" customHeight="1" spans="5:32">
      <c r="E13" s="756" t="s">
        <v>305</v>
      </c>
      <c r="F13" s="757"/>
      <c r="G13" s="757"/>
      <c r="H13" s="752"/>
      <c r="I13" s="752"/>
      <c r="J13" s="63"/>
      <c r="AF13" s="42">
        <v>11</v>
      </c>
    </row>
    <row r="14" ht="24" customHeight="1" spans="5:32">
      <c r="E14" s="63" t="s">
        <v>89</v>
      </c>
      <c r="F14" s="63" t="s">
        <v>307</v>
      </c>
      <c r="G14" s="63" t="s">
        <v>576</v>
      </c>
      <c r="H14" s="63" t="s">
        <v>308</v>
      </c>
      <c r="I14" s="63" t="s">
        <v>308</v>
      </c>
      <c r="J14" s="63"/>
      <c r="AF14" s="42">
        <v>23</v>
      </c>
    </row>
    <row r="15" ht="19.95" customHeight="1" spans="4:32">
      <c r="D15" s="519"/>
      <c r="E15" s="953" t="s">
        <v>111</v>
      </c>
      <c r="F15" s="392" t="s">
        <v>714</v>
      </c>
      <c r="G15" s="63" t="s">
        <v>562</v>
      </c>
      <c r="H15" s="916"/>
      <c r="I15" s="916"/>
      <c r="J15" s="82" t="s">
        <v>715</v>
      </c>
      <c r="K15" s="965" t="s">
        <v>640</v>
      </c>
      <c r="AF15" s="42">
        <v>19</v>
      </c>
    </row>
    <row r="16" ht="35.7" customHeight="1" spans="4:32">
      <c r="D16" s="519"/>
      <c r="E16" s="953" t="s">
        <v>112</v>
      </c>
      <c r="F16" s="392" t="s">
        <v>716</v>
      </c>
      <c r="G16" s="63" t="s">
        <v>562</v>
      </c>
      <c r="H16" s="390">
        <f>SUM(H17,H20:H32)</f>
        <v>0</v>
      </c>
      <c r="I16" s="390">
        <f>SUM(I17,I20,I23,I26,I29:I32)</f>
        <v>0</v>
      </c>
      <c r="J16" s="82" t="s">
        <v>717</v>
      </c>
      <c r="K16" s="965" t="s">
        <v>640</v>
      </c>
      <c r="AF16" s="42">
        <v>34</v>
      </c>
    </row>
    <row r="17" ht="19.95" customHeight="1" spans="4:32">
      <c r="D17" s="519"/>
      <c r="E17" s="954" t="s">
        <v>718</v>
      </c>
      <c r="F17" s="666" t="s">
        <v>719</v>
      </c>
      <c r="G17" s="126" t="s">
        <v>562</v>
      </c>
      <c r="H17" s="916"/>
      <c r="I17" s="916"/>
      <c r="J17" s="82" t="s">
        <v>720</v>
      </c>
      <c r="K17" s="965"/>
      <c r="AF17" s="42">
        <v>19</v>
      </c>
    </row>
    <row r="18" ht="24" customHeight="1" spans="4:32">
      <c r="D18" s="519"/>
      <c r="E18" s="954" t="s">
        <v>721</v>
      </c>
      <c r="F18" s="918" t="s">
        <v>722</v>
      </c>
      <c r="G18" s="126" t="s">
        <v>562</v>
      </c>
      <c r="H18" s="916"/>
      <c r="I18" s="916"/>
      <c r="J18" s="82" t="s">
        <v>723</v>
      </c>
      <c r="K18" s="965"/>
      <c r="AF18" s="42">
        <v>23</v>
      </c>
    </row>
    <row r="19" ht="35.7" customHeight="1" spans="4:32">
      <c r="D19" s="519"/>
      <c r="E19" s="954" t="s">
        <v>724</v>
      </c>
      <c r="F19" s="918" t="s">
        <v>725</v>
      </c>
      <c r="G19" s="126" t="s">
        <v>562</v>
      </c>
      <c r="H19" s="916"/>
      <c r="I19" s="916"/>
      <c r="J19" s="82"/>
      <c r="K19" s="965"/>
      <c r="AF19" s="42">
        <v>34</v>
      </c>
    </row>
    <row r="20" ht="19.95" customHeight="1" spans="4:32">
      <c r="D20" s="519"/>
      <c r="E20" s="954" t="s">
        <v>312</v>
      </c>
      <c r="F20" s="666" t="s">
        <v>726</v>
      </c>
      <c r="G20" s="126" t="s">
        <v>562</v>
      </c>
      <c r="H20" s="916"/>
      <c r="I20" s="916"/>
      <c r="J20" s="82" t="s">
        <v>727</v>
      </c>
      <c r="K20" s="965"/>
      <c r="AF20" s="42">
        <v>19</v>
      </c>
    </row>
    <row r="21" ht="19.95" customHeight="1" spans="4:32">
      <c r="D21" s="519"/>
      <c r="E21" s="954" t="s">
        <v>728</v>
      </c>
      <c r="F21" s="918" t="s">
        <v>729</v>
      </c>
      <c r="G21" s="126" t="s">
        <v>562</v>
      </c>
      <c r="H21" s="916"/>
      <c r="I21" s="916"/>
      <c r="J21" s="82"/>
      <c r="K21" s="965"/>
      <c r="AF21" s="42">
        <v>19</v>
      </c>
    </row>
    <row r="22" ht="19.95" customHeight="1" spans="4:32">
      <c r="D22" s="519"/>
      <c r="E22" s="954" t="s">
        <v>730</v>
      </c>
      <c r="F22" s="918" t="s">
        <v>731</v>
      </c>
      <c r="G22" s="126" t="s">
        <v>562</v>
      </c>
      <c r="H22" s="916"/>
      <c r="I22" s="916"/>
      <c r="J22" s="82"/>
      <c r="K22" s="965"/>
      <c r="AF22" s="42">
        <v>19</v>
      </c>
    </row>
    <row r="23" ht="24" customHeight="1" spans="4:32">
      <c r="D23" s="519"/>
      <c r="E23" s="954" t="s">
        <v>315</v>
      </c>
      <c r="F23" s="666" t="s">
        <v>732</v>
      </c>
      <c r="G23" s="126" t="s">
        <v>562</v>
      </c>
      <c r="H23" s="916"/>
      <c r="I23" s="916"/>
      <c r="J23" s="82" t="s">
        <v>733</v>
      </c>
      <c r="K23" s="965"/>
      <c r="AF23" s="42">
        <v>23</v>
      </c>
    </row>
    <row r="24" ht="19.95" customHeight="1" spans="4:32">
      <c r="D24" s="519"/>
      <c r="E24" s="954" t="s">
        <v>734</v>
      </c>
      <c r="F24" s="918" t="s">
        <v>735</v>
      </c>
      <c r="G24" s="126" t="s">
        <v>562</v>
      </c>
      <c r="H24" s="916"/>
      <c r="I24" s="916"/>
      <c r="J24" s="82"/>
      <c r="K24" s="965"/>
      <c r="AF24" s="42">
        <v>19</v>
      </c>
    </row>
    <row r="25" ht="35.7" customHeight="1" spans="4:32">
      <c r="D25" s="519"/>
      <c r="E25" s="954" t="s">
        <v>736</v>
      </c>
      <c r="F25" s="918" t="s">
        <v>737</v>
      </c>
      <c r="G25" s="126" t="s">
        <v>562</v>
      </c>
      <c r="H25" s="916"/>
      <c r="I25" s="916"/>
      <c r="J25" s="82"/>
      <c r="K25" s="965"/>
      <c r="AF25" s="42">
        <v>34</v>
      </c>
    </row>
    <row r="26" ht="24" customHeight="1" spans="4:32">
      <c r="D26" s="519"/>
      <c r="E26" s="954" t="s">
        <v>738</v>
      </c>
      <c r="F26" s="666" t="s">
        <v>739</v>
      </c>
      <c r="G26" s="126" t="s">
        <v>562</v>
      </c>
      <c r="H26" s="916"/>
      <c r="I26" s="916"/>
      <c r="J26" s="82" t="s">
        <v>740</v>
      </c>
      <c r="K26" s="965"/>
      <c r="AF26" s="42">
        <v>23</v>
      </c>
    </row>
    <row r="27" ht="19.95" customHeight="1" spans="4:32">
      <c r="D27" s="519"/>
      <c r="E27" s="969" t="s">
        <v>741</v>
      </c>
      <c r="F27" s="918" t="s">
        <v>742</v>
      </c>
      <c r="G27" s="126" t="s">
        <v>562</v>
      </c>
      <c r="H27" s="970"/>
      <c r="I27" s="970"/>
      <c r="J27" s="82"/>
      <c r="K27" s="965"/>
      <c r="AF27" s="42">
        <v>19</v>
      </c>
    </row>
    <row r="28" ht="19.95" customHeight="1" spans="4:32">
      <c r="D28" s="519"/>
      <c r="E28" s="969" t="s">
        <v>743</v>
      </c>
      <c r="F28" s="918" t="s">
        <v>744</v>
      </c>
      <c r="G28" s="126" t="s">
        <v>562</v>
      </c>
      <c r="H28" s="970"/>
      <c r="I28" s="970"/>
      <c r="J28" s="82"/>
      <c r="K28" s="965"/>
      <c r="AF28" s="42">
        <v>19</v>
      </c>
    </row>
    <row r="29" ht="19.95" customHeight="1" spans="4:32">
      <c r="D29" s="519"/>
      <c r="E29" s="969" t="s">
        <v>745</v>
      </c>
      <c r="F29" s="666" t="s">
        <v>746</v>
      </c>
      <c r="G29" s="126" t="s">
        <v>562</v>
      </c>
      <c r="H29" s="970"/>
      <c r="I29" s="970"/>
      <c r="J29" s="82"/>
      <c r="K29" s="965"/>
      <c r="AF29" s="42">
        <v>19</v>
      </c>
    </row>
    <row r="30" ht="19.95" customHeight="1" spans="4:32">
      <c r="D30" s="519"/>
      <c r="E30" s="969" t="s">
        <v>747</v>
      </c>
      <c r="F30" s="666" t="s">
        <v>748</v>
      </c>
      <c r="G30" s="126" t="s">
        <v>562</v>
      </c>
      <c r="H30" s="970"/>
      <c r="I30" s="970"/>
      <c r="J30" s="82"/>
      <c r="K30" s="965"/>
      <c r="AF30" s="42">
        <v>19</v>
      </c>
    </row>
    <row r="31" ht="19.95" customHeight="1" spans="4:32">
      <c r="D31" s="519"/>
      <c r="E31" s="969" t="s">
        <v>749</v>
      </c>
      <c r="F31" s="666" t="s">
        <v>750</v>
      </c>
      <c r="G31" s="126" t="s">
        <v>562</v>
      </c>
      <c r="H31" s="970"/>
      <c r="I31" s="970"/>
      <c r="J31" s="82"/>
      <c r="K31" s="965"/>
      <c r="AF31" s="42">
        <v>19</v>
      </c>
    </row>
    <row r="32" s="37" customFormat="1" ht="35.7" customHeight="1" spans="1:32">
      <c r="A32" s="946"/>
      <c r="C32" s="43"/>
      <c r="D32" s="519"/>
      <c r="E32" s="969" t="s">
        <v>751</v>
      </c>
      <c r="F32" s="666" t="s">
        <v>752</v>
      </c>
      <c r="G32" s="70" t="s">
        <v>562</v>
      </c>
      <c r="H32" s="956">
        <f>SUM(H33:H34)</f>
        <v>0</v>
      </c>
      <c r="I32" s="956">
        <f>SUM(I33:I34)</f>
        <v>0</v>
      </c>
      <c r="J32" s="82" t="s">
        <v>753</v>
      </c>
      <c r="K32" s="965"/>
      <c r="L32" s="43"/>
      <c r="M32" s="43"/>
      <c r="R32" s="43"/>
      <c r="U32" s="947"/>
      <c r="AA32" s="572"/>
      <c r="AB32" s="572"/>
      <c r="AC32" s="572"/>
      <c r="AD32" s="572"/>
      <c r="AE32" s="572"/>
      <c r="AF32" s="37">
        <v>34</v>
      </c>
    </row>
    <row r="33" s="43" customFormat="1" ht="1.05" customHeight="1" spans="1:32">
      <c r="A33" s="306"/>
      <c r="D33" s="306"/>
      <c r="E33" s="672" t="str">
        <f>E32&amp;".0"</f>
        <v>2.8.0</v>
      </c>
      <c r="F33" s="957"/>
      <c r="G33" s="672"/>
      <c r="H33" s="958"/>
      <c r="I33" s="958"/>
      <c r="J33" s="966"/>
      <c r="AF33" s="43">
        <v>1</v>
      </c>
    </row>
    <row r="34" s="37" customFormat="1" ht="19.95" customHeight="1" spans="1:32">
      <c r="A34" s="946"/>
      <c r="C34" s="43"/>
      <c r="D34" s="216"/>
      <c r="E34" s="959"/>
      <c r="F34" s="960" t="s">
        <v>587</v>
      </c>
      <c r="G34" s="401"/>
      <c r="H34" s="909"/>
      <c r="I34" s="909"/>
      <c r="J34" s="66" t="s">
        <v>754</v>
      </c>
      <c r="K34" s="965"/>
      <c r="L34" s="43"/>
      <c r="M34" s="43"/>
      <c r="R34" s="43"/>
      <c r="U34" s="947"/>
      <c r="AA34" s="572"/>
      <c r="AB34" s="572"/>
      <c r="AC34" s="572"/>
      <c r="AD34" s="572"/>
      <c r="AE34" s="572"/>
      <c r="AF34" s="37">
        <v>19</v>
      </c>
    </row>
    <row r="35" ht="60" customHeight="1" spans="4:32">
      <c r="D35" s="519"/>
      <c r="E35" s="969" t="s">
        <v>755</v>
      </c>
      <c r="F35" s="666" t="s">
        <v>756</v>
      </c>
      <c r="G35" s="126" t="s">
        <v>562</v>
      </c>
      <c r="H35" s="970"/>
      <c r="I35" s="970"/>
      <c r="J35" s="82" t="s">
        <v>757</v>
      </c>
      <c r="K35" s="965"/>
      <c r="AF35" s="42">
        <v>57</v>
      </c>
    </row>
    <row r="36" s="37" customFormat="1" ht="24" customHeight="1" spans="1:32">
      <c r="A36" s="971" t="s">
        <v>588</v>
      </c>
      <c r="C36" s="43"/>
      <c r="D36" s="519"/>
      <c r="E36" s="954" t="s">
        <v>91</v>
      </c>
      <c r="F36" s="392" t="s">
        <v>758</v>
      </c>
      <c r="G36" s="126" t="s">
        <v>562</v>
      </c>
      <c r="H36" s="916"/>
      <c r="I36" s="916"/>
      <c r="J36" s="82" t="s">
        <v>759</v>
      </c>
      <c r="K36" s="965"/>
      <c r="L36" s="43"/>
      <c r="M36" s="43"/>
      <c r="R36" s="43"/>
      <c r="U36" s="947"/>
      <c r="AA36" s="572"/>
      <c r="AB36" s="572"/>
      <c r="AC36" s="572"/>
      <c r="AD36" s="572"/>
      <c r="AE36" s="572"/>
      <c r="AF36" s="37">
        <v>23</v>
      </c>
    </row>
    <row r="37" s="37" customFormat="1" ht="35.7" customHeight="1" spans="1:32">
      <c r="A37" s="971"/>
      <c r="C37" s="43"/>
      <c r="D37" s="519"/>
      <c r="E37" s="954" t="s">
        <v>329</v>
      </c>
      <c r="F37" s="666" t="s">
        <v>760</v>
      </c>
      <c r="G37" s="126"/>
      <c r="H37" s="916"/>
      <c r="I37" s="916"/>
      <c r="J37" s="82"/>
      <c r="K37" s="965"/>
      <c r="L37" s="43"/>
      <c r="M37" s="43"/>
      <c r="R37" s="43"/>
      <c r="U37" s="947"/>
      <c r="AA37" s="572"/>
      <c r="AB37" s="572"/>
      <c r="AC37" s="572"/>
      <c r="AD37" s="572"/>
      <c r="AE37" s="572"/>
      <c r="AF37" s="37">
        <v>34</v>
      </c>
    </row>
    <row r="38" s="37" customFormat="1" ht="19.95" customHeight="1" spans="1:32">
      <c r="A38" s="946"/>
      <c r="C38" s="43"/>
      <c r="D38" s="961"/>
      <c r="E38" s="954" t="s">
        <v>92</v>
      </c>
      <c r="F38" s="392" t="s">
        <v>761</v>
      </c>
      <c r="G38" s="126" t="s">
        <v>562</v>
      </c>
      <c r="H38" s="916"/>
      <c r="I38" s="916"/>
      <c r="J38" s="82" t="s">
        <v>762</v>
      </c>
      <c r="K38" s="965"/>
      <c r="L38" s="43"/>
      <c r="M38" s="43"/>
      <c r="R38" s="43"/>
      <c r="U38" s="947"/>
      <c r="AA38" s="572"/>
      <c r="AB38" s="572"/>
      <c r="AC38" s="572"/>
      <c r="AD38" s="572"/>
      <c r="AE38" s="572"/>
      <c r="AF38" s="37">
        <v>19</v>
      </c>
    </row>
    <row r="39" s="37" customFormat="1" ht="24" customHeight="1" spans="1:32">
      <c r="A39" s="946"/>
      <c r="C39" s="43"/>
      <c r="D39" s="961"/>
      <c r="E39" s="954" t="s">
        <v>763</v>
      </c>
      <c r="F39" s="666" t="s">
        <v>764</v>
      </c>
      <c r="G39" s="126" t="s">
        <v>562</v>
      </c>
      <c r="H39" s="916"/>
      <c r="I39" s="916"/>
      <c r="J39" s="82" t="s">
        <v>765</v>
      </c>
      <c r="K39" s="965"/>
      <c r="L39" s="43"/>
      <c r="M39" s="43"/>
      <c r="R39" s="43"/>
      <c r="U39" s="947"/>
      <c r="AA39" s="572"/>
      <c r="AB39" s="572"/>
      <c r="AC39" s="572"/>
      <c r="AD39" s="572"/>
      <c r="AE39" s="572"/>
      <c r="AF39" s="37">
        <v>23</v>
      </c>
    </row>
    <row r="40" s="37" customFormat="1" ht="24" customHeight="1" spans="1:32">
      <c r="A40" s="946"/>
      <c r="C40" s="43"/>
      <c r="D40" s="519"/>
      <c r="E40" s="954" t="s">
        <v>766</v>
      </c>
      <c r="F40" s="918" t="s">
        <v>767</v>
      </c>
      <c r="G40" s="126" t="s">
        <v>562</v>
      </c>
      <c r="H40" s="916"/>
      <c r="I40" s="916"/>
      <c r="J40" s="82" t="s">
        <v>768</v>
      </c>
      <c r="K40" s="965"/>
      <c r="L40" s="43"/>
      <c r="M40" s="43"/>
      <c r="R40" s="43"/>
      <c r="U40" s="947"/>
      <c r="AA40" s="572"/>
      <c r="AB40" s="572"/>
      <c r="AC40" s="572"/>
      <c r="AD40" s="572"/>
      <c r="AE40" s="572"/>
      <c r="AF40" s="37">
        <v>23</v>
      </c>
    </row>
    <row r="41" s="37" customFormat="1" ht="24" customHeight="1" spans="1:32">
      <c r="A41" s="946"/>
      <c r="C41" s="43"/>
      <c r="D41" s="519"/>
      <c r="E41" s="954" t="s">
        <v>769</v>
      </c>
      <c r="F41" s="918" t="s">
        <v>770</v>
      </c>
      <c r="G41" s="126" t="s">
        <v>562</v>
      </c>
      <c r="H41" s="916"/>
      <c r="I41" s="916"/>
      <c r="J41" s="82" t="s">
        <v>771</v>
      </c>
      <c r="K41" s="965"/>
      <c r="L41" s="43"/>
      <c r="M41" s="43"/>
      <c r="R41" s="43"/>
      <c r="U41" s="947"/>
      <c r="AA41" s="572"/>
      <c r="AB41" s="572"/>
      <c r="AC41" s="572"/>
      <c r="AD41" s="572"/>
      <c r="AE41" s="572"/>
      <c r="AF41" s="37">
        <v>23</v>
      </c>
    </row>
    <row r="42" s="37" customFormat="1" ht="24" customHeight="1" spans="1:32">
      <c r="A42" s="946"/>
      <c r="C42" s="43"/>
      <c r="D42" s="519"/>
      <c r="E42" s="954" t="s">
        <v>772</v>
      </c>
      <c r="F42" s="918" t="s">
        <v>773</v>
      </c>
      <c r="G42" s="126" t="s">
        <v>562</v>
      </c>
      <c r="H42" s="916"/>
      <c r="I42" s="916"/>
      <c r="J42" s="82" t="s">
        <v>774</v>
      </c>
      <c r="K42" s="965"/>
      <c r="L42" s="43"/>
      <c r="M42" s="43"/>
      <c r="R42" s="43"/>
      <c r="U42" s="947"/>
      <c r="AA42" s="572"/>
      <c r="AB42" s="572"/>
      <c r="AC42" s="572"/>
      <c r="AD42" s="572"/>
      <c r="AE42" s="572"/>
      <c r="AF42" s="37">
        <v>23</v>
      </c>
    </row>
    <row r="43" s="37" customFormat="1" ht="35.7" customHeight="1" spans="1:32">
      <c r="A43" s="946"/>
      <c r="C43" s="43" t="s">
        <v>598</v>
      </c>
      <c r="D43" s="519"/>
      <c r="E43" s="954" t="s">
        <v>113</v>
      </c>
      <c r="F43" s="392" t="s">
        <v>639</v>
      </c>
      <c r="G43" s="63" t="s">
        <v>775</v>
      </c>
      <c r="H43" s="625"/>
      <c r="I43" s="625"/>
      <c r="J43" s="82" t="s">
        <v>776</v>
      </c>
      <c r="K43" s="965"/>
      <c r="L43" s="43"/>
      <c r="M43" s="43"/>
      <c r="R43" s="43"/>
      <c r="U43" s="947"/>
      <c r="AA43" s="572"/>
      <c r="AB43" s="572"/>
      <c r="AC43" s="572"/>
      <c r="AD43" s="572"/>
      <c r="AE43" s="572"/>
      <c r="AF43" s="37">
        <v>34</v>
      </c>
    </row>
    <row r="44" s="37" customFormat="1" ht="35.7" customHeight="1" spans="1:32">
      <c r="A44" s="946"/>
      <c r="C44" s="43"/>
      <c r="D44" s="519"/>
      <c r="E44" s="954" t="s">
        <v>93</v>
      </c>
      <c r="F44" s="392" t="s">
        <v>777</v>
      </c>
      <c r="G44" s="126" t="s">
        <v>778</v>
      </c>
      <c r="H44" s="962"/>
      <c r="I44" s="962"/>
      <c r="J44" s="82" t="s">
        <v>779</v>
      </c>
      <c r="K44" s="965"/>
      <c r="L44" s="43"/>
      <c r="M44" s="43"/>
      <c r="R44" s="43"/>
      <c r="U44" s="947"/>
      <c r="AA44" s="572"/>
      <c r="AB44" s="572"/>
      <c r="AC44" s="572"/>
      <c r="AD44" s="572"/>
      <c r="AE44" s="572"/>
      <c r="AF44" s="37">
        <v>34</v>
      </c>
    </row>
    <row r="45" s="37" customFormat="1" ht="24" customHeight="1" spans="1:32">
      <c r="A45" s="946"/>
      <c r="C45" s="43"/>
      <c r="D45" s="519"/>
      <c r="E45" s="954" t="s">
        <v>94</v>
      </c>
      <c r="F45" s="392" t="s">
        <v>780</v>
      </c>
      <c r="G45" s="126" t="s">
        <v>781</v>
      </c>
      <c r="H45" s="962"/>
      <c r="I45" s="962"/>
      <c r="J45" s="82" t="s">
        <v>782</v>
      </c>
      <c r="K45" s="965"/>
      <c r="L45" s="43"/>
      <c r="M45" s="43"/>
      <c r="R45" s="43"/>
      <c r="U45" s="947"/>
      <c r="AA45" s="572"/>
      <c r="AB45" s="572"/>
      <c r="AC45" s="572"/>
      <c r="AD45" s="572"/>
      <c r="AE45" s="572"/>
      <c r="AF45" s="37">
        <v>23</v>
      </c>
    </row>
    <row r="46" s="37" customFormat="1" ht="19.95" customHeight="1" spans="1:32">
      <c r="A46" s="946"/>
      <c r="C46" s="43"/>
      <c r="D46" s="519"/>
      <c r="E46" s="954" t="s">
        <v>114</v>
      </c>
      <c r="F46" s="392" t="s">
        <v>783</v>
      </c>
      <c r="G46" s="126" t="s">
        <v>600</v>
      </c>
      <c r="H46" s="972"/>
      <c r="I46" s="972"/>
      <c r="J46" s="82"/>
      <c r="K46" s="965"/>
      <c r="L46" s="43"/>
      <c r="M46" s="43"/>
      <c r="R46" s="43"/>
      <c r="U46" s="947"/>
      <c r="AA46" s="572"/>
      <c r="AB46" s="572"/>
      <c r="AC46" s="572"/>
      <c r="AD46" s="572"/>
      <c r="AE46" s="572"/>
      <c r="AF46" s="37">
        <v>19</v>
      </c>
    </row>
    <row r="47" ht="11.55" customHeight="1" spans="4:32">
      <c r="D47" s="519"/>
      <c r="AF47" s="42">
        <v>11</v>
      </c>
    </row>
    <row r="48" s="36" customFormat="1" ht="11.55" customHeight="1" spans="1:32">
      <c r="A48" s="946"/>
      <c r="B48" s="43"/>
      <c r="C48" s="43"/>
      <c r="K48" s="37"/>
      <c r="L48" s="43"/>
      <c r="M48" s="43"/>
      <c r="N48" s="37"/>
      <c r="O48" s="37"/>
      <c r="P48" s="37"/>
      <c r="Q48" s="37"/>
      <c r="R48" s="43"/>
      <c r="S48" s="37"/>
      <c r="T48" s="37"/>
      <c r="U48" s="947"/>
      <c r="V48" s="37"/>
      <c r="W48" s="37"/>
      <c r="X48" s="37"/>
      <c r="Y48" s="37"/>
      <c r="Z48" s="37"/>
      <c r="AA48" s="572"/>
      <c r="AB48" s="963"/>
      <c r="AC48" s="963"/>
      <c r="AD48" s="963"/>
      <c r="AE48" s="963"/>
      <c r="AF48" s="36">
        <v>11</v>
      </c>
    </row>
    <row r="49" s="36" customFormat="1" ht="11.55" customHeight="1" spans="1:32">
      <c r="A49" s="946"/>
      <c r="B49" s="43"/>
      <c r="C49" s="43"/>
      <c r="K49" s="37"/>
      <c r="L49" s="43"/>
      <c r="M49" s="43"/>
      <c r="N49" s="37"/>
      <c r="O49" s="37"/>
      <c r="P49" s="37"/>
      <c r="Q49" s="37"/>
      <c r="R49" s="43"/>
      <c r="S49" s="37"/>
      <c r="T49" s="37"/>
      <c r="U49" s="947"/>
      <c r="V49" s="37"/>
      <c r="W49" s="37"/>
      <c r="X49" s="37"/>
      <c r="Y49" s="37"/>
      <c r="Z49" s="37"/>
      <c r="AA49" s="572"/>
      <c r="AB49" s="963"/>
      <c r="AC49" s="963"/>
      <c r="AD49" s="963"/>
      <c r="AE49" s="963"/>
      <c r="AF49" s="36">
        <v>11</v>
      </c>
    </row>
    <row r="50" s="36" customFormat="1" ht="11.55" customHeight="1" spans="1:32">
      <c r="A50" s="946"/>
      <c r="B50" s="43"/>
      <c r="C50" s="43"/>
      <c r="H50" s="963"/>
      <c r="I50" s="963"/>
      <c r="K50" s="37"/>
      <c r="L50" s="43"/>
      <c r="M50" s="43"/>
      <c r="N50" s="37"/>
      <c r="O50" s="37"/>
      <c r="P50" s="37"/>
      <c r="Q50" s="37"/>
      <c r="R50" s="43"/>
      <c r="S50" s="37"/>
      <c r="T50" s="37"/>
      <c r="U50" s="947"/>
      <c r="V50" s="37"/>
      <c r="W50" s="37"/>
      <c r="X50" s="37"/>
      <c r="Y50" s="37"/>
      <c r="Z50" s="37"/>
      <c r="AA50" s="572"/>
      <c r="AB50" s="963"/>
      <c r="AC50" s="963"/>
      <c r="AD50" s="963"/>
      <c r="AE50" s="963"/>
      <c r="AF50" s="36">
        <v>11</v>
      </c>
    </row>
    <row r="51" s="36" customFormat="1" ht="11.55" customHeight="1" spans="1:32">
      <c r="A51" s="946"/>
      <c r="B51" s="43"/>
      <c r="C51" s="43"/>
      <c r="K51" s="37"/>
      <c r="L51" s="43"/>
      <c r="M51" s="43"/>
      <c r="N51" s="37"/>
      <c r="O51" s="37"/>
      <c r="P51" s="37"/>
      <c r="Q51" s="37"/>
      <c r="R51" s="43"/>
      <c r="S51" s="37"/>
      <c r="T51" s="37"/>
      <c r="U51" s="947"/>
      <c r="V51" s="37"/>
      <c r="W51" s="37"/>
      <c r="X51" s="37"/>
      <c r="Y51" s="37"/>
      <c r="Z51" s="37"/>
      <c r="AA51" s="572"/>
      <c r="AB51" s="963"/>
      <c r="AC51" s="963"/>
      <c r="AD51" s="963"/>
      <c r="AE51" s="963"/>
      <c r="AF51" s="36">
        <v>11</v>
      </c>
    </row>
    <row r="52" s="36" customFormat="1" ht="11.55" customHeight="1" spans="1:32">
      <c r="A52" s="946"/>
      <c r="B52" s="43"/>
      <c r="C52" s="43"/>
      <c r="K52" s="37"/>
      <c r="L52" s="43"/>
      <c r="M52" s="43"/>
      <c r="N52" s="37"/>
      <c r="O52" s="37"/>
      <c r="P52" s="37"/>
      <c r="Q52" s="37"/>
      <c r="R52" s="43"/>
      <c r="S52" s="37"/>
      <c r="T52" s="37"/>
      <c r="U52" s="947"/>
      <c r="V52" s="37"/>
      <c r="W52" s="37"/>
      <c r="X52" s="37"/>
      <c r="Y52" s="37"/>
      <c r="Z52" s="37"/>
      <c r="AA52" s="572"/>
      <c r="AB52" s="963"/>
      <c r="AC52" s="963"/>
      <c r="AD52" s="963"/>
      <c r="AE52" s="963"/>
      <c r="AF52" s="36">
        <v>11</v>
      </c>
    </row>
    <row r="53" s="36" customFormat="1" ht="11.55" customHeight="1" spans="1:32">
      <c r="A53" s="946"/>
      <c r="B53" s="43"/>
      <c r="C53" s="43"/>
      <c r="K53" s="37"/>
      <c r="L53" s="43"/>
      <c r="M53" s="43"/>
      <c r="N53" s="37"/>
      <c r="O53" s="37"/>
      <c r="P53" s="37"/>
      <c r="Q53" s="37"/>
      <c r="R53" s="43"/>
      <c r="S53" s="37"/>
      <c r="T53" s="37"/>
      <c r="U53" s="947"/>
      <c r="V53" s="37"/>
      <c r="W53" s="37"/>
      <c r="X53" s="37"/>
      <c r="Y53" s="37"/>
      <c r="Z53" s="37"/>
      <c r="AA53" s="572"/>
      <c r="AB53" s="963"/>
      <c r="AC53" s="963"/>
      <c r="AD53" s="963"/>
      <c r="AE53" s="963"/>
      <c r="AF53" s="36">
        <v>11</v>
      </c>
    </row>
    <row r="54" s="36" customFormat="1" ht="11.55" customHeight="1" spans="1:32">
      <c r="A54" s="946"/>
      <c r="B54" s="43"/>
      <c r="C54" s="43"/>
      <c r="K54" s="37"/>
      <c r="L54" s="43"/>
      <c r="M54" s="43"/>
      <c r="N54" s="37"/>
      <c r="O54" s="37"/>
      <c r="P54" s="37"/>
      <c r="Q54" s="37"/>
      <c r="R54" s="43"/>
      <c r="S54" s="37"/>
      <c r="T54" s="37"/>
      <c r="U54" s="947"/>
      <c r="V54" s="37"/>
      <c r="W54" s="37"/>
      <c r="X54" s="37"/>
      <c r="Y54" s="37"/>
      <c r="Z54" s="37"/>
      <c r="AA54" s="572"/>
      <c r="AB54" s="963"/>
      <c r="AC54" s="963"/>
      <c r="AD54" s="963"/>
      <c r="AE54" s="963"/>
      <c r="AF54" s="36">
        <v>11</v>
      </c>
    </row>
    <row r="55" s="36" customFormat="1" ht="11.55" customHeight="1" spans="1:32">
      <c r="A55" s="946"/>
      <c r="B55" s="43"/>
      <c r="C55" s="43"/>
      <c r="K55" s="37"/>
      <c r="L55" s="43"/>
      <c r="M55" s="43"/>
      <c r="N55" s="37"/>
      <c r="O55" s="37"/>
      <c r="P55" s="37"/>
      <c r="Q55" s="37"/>
      <c r="R55" s="43"/>
      <c r="S55" s="37"/>
      <c r="T55" s="37"/>
      <c r="U55" s="947"/>
      <c r="V55" s="37"/>
      <c r="W55" s="37"/>
      <c r="X55" s="37"/>
      <c r="Y55" s="37"/>
      <c r="Z55" s="37"/>
      <c r="AA55" s="572"/>
      <c r="AB55" s="963"/>
      <c r="AC55" s="963"/>
      <c r="AD55" s="963"/>
      <c r="AE55" s="963"/>
      <c r="AF55" s="36">
        <v>11</v>
      </c>
    </row>
    <row r="56" s="36" customFormat="1" ht="11.55" customHeight="1" spans="1:32">
      <c r="A56" s="946"/>
      <c r="B56" s="43"/>
      <c r="C56" s="43"/>
      <c r="K56" s="37"/>
      <c r="L56" s="43"/>
      <c r="M56" s="43"/>
      <c r="N56" s="37"/>
      <c r="O56" s="37"/>
      <c r="P56" s="37"/>
      <c r="Q56" s="37"/>
      <c r="R56" s="43"/>
      <c r="S56" s="37"/>
      <c r="T56" s="37"/>
      <c r="U56" s="947"/>
      <c r="V56" s="37"/>
      <c r="W56" s="37"/>
      <c r="X56" s="37"/>
      <c r="Y56" s="37"/>
      <c r="Z56" s="37"/>
      <c r="AA56" s="572"/>
      <c r="AB56" s="963"/>
      <c r="AC56" s="963"/>
      <c r="AD56" s="963"/>
      <c r="AE56" s="963"/>
      <c r="AF56" s="36">
        <v>11</v>
      </c>
    </row>
    <row r="57" s="36" customFormat="1" ht="11.55" customHeight="1" spans="1:32">
      <c r="A57" s="946"/>
      <c r="B57" s="43"/>
      <c r="C57" s="43"/>
      <c r="K57" s="37"/>
      <c r="L57" s="43"/>
      <c r="M57" s="43"/>
      <c r="N57" s="37"/>
      <c r="O57" s="37"/>
      <c r="P57" s="37"/>
      <c r="Q57" s="37"/>
      <c r="R57" s="43"/>
      <c r="S57" s="37"/>
      <c r="T57" s="37"/>
      <c r="U57" s="947"/>
      <c r="V57" s="37"/>
      <c r="W57" s="37"/>
      <c r="X57" s="37"/>
      <c r="Y57" s="37"/>
      <c r="Z57" s="37"/>
      <c r="AA57" s="572"/>
      <c r="AB57" s="963"/>
      <c r="AC57" s="963"/>
      <c r="AD57" s="963"/>
      <c r="AE57" s="963"/>
      <c r="AF57" s="36">
        <v>11</v>
      </c>
    </row>
    <row r="58" s="36" customFormat="1" ht="11.55" customHeight="1" spans="1:32">
      <c r="A58" s="946"/>
      <c r="B58" s="43"/>
      <c r="C58" s="43"/>
      <c r="K58" s="37"/>
      <c r="L58" s="43"/>
      <c r="M58" s="43"/>
      <c r="N58" s="37"/>
      <c r="O58" s="37"/>
      <c r="P58" s="37"/>
      <c r="Q58" s="37"/>
      <c r="R58" s="43"/>
      <c r="S58" s="37"/>
      <c r="T58" s="37"/>
      <c r="U58" s="947"/>
      <c r="V58" s="37"/>
      <c r="W58" s="37"/>
      <c r="X58" s="37"/>
      <c r="Y58" s="37"/>
      <c r="Z58" s="37"/>
      <c r="AA58" s="572"/>
      <c r="AB58" s="963"/>
      <c r="AC58" s="963"/>
      <c r="AD58" s="963"/>
      <c r="AE58" s="963"/>
      <c r="AF58" s="36">
        <v>11</v>
      </c>
    </row>
    <row r="59" s="36" customFormat="1" ht="11.55" customHeight="1" spans="1:32">
      <c r="A59" s="946"/>
      <c r="B59" s="43"/>
      <c r="C59" s="43"/>
      <c r="K59" s="37"/>
      <c r="L59" s="43"/>
      <c r="M59" s="43"/>
      <c r="N59" s="37"/>
      <c r="O59" s="37"/>
      <c r="P59" s="37"/>
      <c r="Q59" s="37"/>
      <c r="R59" s="43"/>
      <c r="S59" s="37"/>
      <c r="T59" s="37"/>
      <c r="U59" s="947"/>
      <c r="V59" s="37"/>
      <c r="W59" s="37"/>
      <c r="X59" s="37"/>
      <c r="Y59" s="37"/>
      <c r="Z59" s="37"/>
      <c r="AA59" s="572"/>
      <c r="AB59" s="963"/>
      <c r="AC59" s="963"/>
      <c r="AD59" s="963"/>
      <c r="AE59" s="963"/>
      <c r="AF59" s="36">
        <v>11</v>
      </c>
    </row>
    <row r="60" s="36" customFormat="1" ht="11.55" customHeight="1" spans="1:32">
      <c r="A60" s="946"/>
      <c r="B60" s="43"/>
      <c r="C60" s="43"/>
      <c r="K60" s="37"/>
      <c r="L60" s="43"/>
      <c r="M60" s="43"/>
      <c r="N60" s="37"/>
      <c r="O60" s="37"/>
      <c r="P60" s="37"/>
      <c r="Q60" s="37"/>
      <c r="R60" s="43"/>
      <c r="S60" s="37"/>
      <c r="T60" s="37"/>
      <c r="U60" s="947"/>
      <c r="V60" s="37"/>
      <c r="W60" s="37"/>
      <c r="X60" s="37"/>
      <c r="Y60" s="37"/>
      <c r="Z60" s="37"/>
      <c r="AA60" s="572"/>
      <c r="AB60" s="963"/>
      <c r="AC60" s="963"/>
      <c r="AD60" s="963"/>
      <c r="AE60" s="963"/>
      <c r="AF60" s="36">
        <v>11</v>
      </c>
    </row>
    <row r="61" s="36" customFormat="1" ht="11.55" customHeight="1" spans="1:32">
      <c r="A61" s="946"/>
      <c r="B61" s="43"/>
      <c r="C61" s="43"/>
      <c r="K61" s="37"/>
      <c r="L61" s="43"/>
      <c r="M61" s="43"/>
      <c r="N61" s="37"/>
      <c r="O61" s="37"/>
      <c r="P61" s="37"/>
      <c r="Q61" s="37"/>
      <c r="R61" s="43"/>
      <c r="S61" s="37"/>
      <c r="T61" s="37"/>
      <c r="U61" s="947"/>
      <c r="V61" s="37"/>
      <c r="W61" s="37"/>
      <c r="X61" s="37"/>
      <c r="Y61" s="37"/>
      <c r="Z61" s="37"/>
      <c r="AA61" s="572"/>
      <c r="AB61" s="963"/>
      <c r="AC61" s="963"/>
      <c r="AD61" s="963"/>
      <c r="AE61" s="963"/>
      <c r="AF61" s="36">
        <v>11</v>
      </c>
    </row>
    <row r="62" s="36" customFormat="1" ht="11.55" customHeight="1" spans="1:32">
      <c r="A62" s="946"/>
      <c r="B62" s="43"/>
      <c r="C62" s="43"/>
      <c r="K62" s="37"/>
      <c r="L62" s="43"/>
      <c r="M62" s="43"/>
      <c r="N62" s="37"/>
      <c r="O62" s="37"/>
      <c r="P62" s="37"/>
      <c r="Q62" s="37"/>
      <c r="R62" s="43"/>
      <c r="S62" s="37"/>
      <c r="T62" s="37"/>
      <c r="U62" s="947"/>
      <c r="V62" s="37"/>
      <c r="W62" s="37"/>
      <c r="X62" s="37"/>
      <c r="Y62" s="37"/>
      <c r="Z62" s="37"/>
      <c r="AA62" s="572"/>
      <c r="AB62" s="963"/>
      <c r="AC62" s="963"/>
      <c r="AD62" s="963"/>
      <c r="AE62" s="963"/>
      <c r="AF62" s="36">
        <v>11</v>
      </c>
    </row>
    <row r="63" s="36" customFormat="1" ht="11.55" customHeight="1" spans="1:32">
      <c r="A63" s="946"/>
      <c r="B63" s="43"/>
      <c r="C63" s="43"/>
      <c r="K63" s="37"/>
      <c r="L63" s="43"/>
      <c r="M63" s="43"/>
      <c r="N63" s="37"/>
      <c r="O63" s="37"/>
      <c r="P63" s="37"/>
      <c r="Q63" s="37"/>
      <c r="R63" s="43"/>
      <c r="S63" s="37"/>
      <c r="T63" s="37"/>
      <c r="U63" s="947"/>
      <c r="V63" s="37"/>
      <c r="W63" s="37"/>
      <c r="X63" s="37"/>
      <c r="Y63" s="37"/>
      <c r="Z63" s="37"/>
      <c r="AA63" s="572"/>
      <c r="AB63" s="963"/>
      <c r="AC63" s="963"/>
      <c r="AD63" s="963"/>
      <c r="AE63" s="963"/>
      <c r="AF63" s="36">
        <v>11</v>
      </c>
    </row>
    <row r="64" s="36" customFormat="1" ht="11.55" customHeight="1" spans="1:32">
      <c r="A64" s="946"/>
      <c r="B64" s="43"/>
      <c r="C64" s="43"/>
      <c r="K64" s="37"/>
      <c r="L64" s="43"/>
      <c r="M64" s="43"/>
      <c r="N64" s="37"/>
      <c r="O64" s="37"/>
      <c r="P64" s="37"/>
      <c r="Q64" s="37"/>
      <c r="R64" s="43"/>
      <c r="S64" s="37"/>
      <c r="T64" s="37"/>
      <c r="U64" s="947"/>
      <c r="V64" s="37"/>
      <c r="W64" s="37"/>
      <c r="X64" s="37"/>
      <c r="Y64" s="37"/>
      <c r="Z64" s="37"/>
      <c r="AA64" s="572"/>
      <c r="AB64" s="963"/>
      <c r="AC64" s="963"/>
      <c r="AD64" s="963"/>
      <c r="AE64" s="963"/>
      <c r="AF64" s="36">
        <v>11</v>
      </c>
    </row>
    <row r="65" s="36" customFormat="1" ht="11.55" customHeight="1" spans="1:32">
      <c r="A65" s="946"/>
      <c r="B65" s="43"/>
      <c r="C65" s="43"/>
      <c r="K65" s="37"/>
      <c r="L65" s="43"/>
      <c r="M65" s="43"/>
      <c r="N65" s="37"/>
      <c r="O65" s="37"/>
      <c r="P65" s="37"/>
      <c r="Q65" s="37"/>
      <c r="R65" s="43"/>
      <c r="S65" s="37"/>
      <c r="T65" s="37"/>
      <c r="U65" s="947"/>
      <c r="V65" s="37"/>
      <c r="W65" s="37"/>
      <c r="X65" s="37"/>
      <c r="Y65" s="37"/>
      <c r="Z65" s="37"/>
      <c r="AA65" s="572"/>
      <c r="AB65" s="963"/>
      <c r="AC65" s="963"/>
      <c r="AD65" s="963"/>
      <c r="AE65" s="963"/>
      <c r="AF65" s="36">
        <v>11</v>
      </c>
    </row>
    <row r="66" s="36" customFormat="1" ht="11.55" customHeight="1" spans="1:32">
      <c r="A66" s="946"/>
      <c r="B66" s="43"/>
      <c r="C66" s="43"/>
      <c r="K66" s="37"/>
      <c r="L66" s="43"/>
      <c r="M66" s="43"/>
      <c r="N66" s="37"/>
      <c r="O66" s="37"/>
      <c r="P66" s="37"/>
      <c r="Q66" s="37"/>
      <c r="R66" s="43"/>
      <c r="S66" s="37"/>
      <c r="T66" s="37"/>
      <c r="U66" s="947"/>
      <c r="V66" s="37"/>
      <c r="W66" s="37"/>
      <c r="X66" s="37"/>
      <c r="Y66" s="37"/>
      <c r="Z66" s="37"/>
      <c r="AA66" s="572"/>
      <c r="AB66" s="963"/>
      <c r="AC66" s="963"/>
      <c r="AD66" s="963"/>
      <c r="AE66" s="963"/>
      <c r="AF66" s="36">
        <v>11</v>
      </c>
    </row>
    <row r="67" s="36" customFormat="1" ht="11.55" customHeight="1" spans="1:32">
      <c r="A67" s="946"/>
      <c r="B67" s="43"/>
      <c r="C67" s="43"/>
      <c r="K67" s="37"/>
      <c r="L67" s="43"/>
      <c r="M67" s="43"/>
      <c r="N67" s="37"/>
      <c r="O67" s="37"/>
      <c r="P67" s="37"/>
      <c r="Q67" s="37"/>
      <c r="R67" s="43"/>
      <c r="S67" s="37"/>
      <c r="T67" s="37"/>
      <c r="U67" s="947"/>
      <c r="V67" s="37"/>
      <c r="W67" s="37"/>
      <c r="X67" s="37"/>
      <c r="Y67" s="37"/>
      <c r="Z67" s="37"/>
      <c r="AA67" s="572"/>
      <c r="AB67" s="963"/>
      <c r="AC67" s="963"/>
      <c r="AD67" s="963"/>
      <c r="AE67" s="963"/>
      <c r="AF67" s="36">
        <v>11</v>
      </c>
    </row>
    <row r="68" s="36" customFormat="1" ht="11.55" customHeight="1" spans="1:32">
      <c r="A68" s="946"/>
      <c r="B68" s="43"/>
      <c r="C68" s="43"/>
      <c r="K68" s="37"/>
      <c r="L68" s="43"/>
      <c r="M68" s="43"/>
      <c r="N68" s="37"/>
      <c r="O68" s="37"/>
      <c r="P68" s="37"/>
      <c r="Q68" s="37"/>
      <c r="R68" s="43"/>
      <c r="S68" s="37"/>
      <c r="T68" s="37"/>
      <c r="U68" s="947"/>
      <c r="V68" s="37"/>
      <c r="W68" s="37"/>
      <c r="X68" s="37"/>
      <c r="Y68" s="37"/>
      <c r="Z68" s="37"/>
      <c r="AA68" s="572"/>
      <c r="AB68" s="963"/>
      <c r="AC68" s="963"/>
      <c r="AD68" s="963"/>
      <c r="AE68" s="963"/>
      <c r="AF68" s="36">
        <v>11</v>
      </c>
    </row>
    <row r="69" s="36" customFormat="1" ht="11.55" customHeight="1" spans="1:32">
      <c r="A69" s="946"/>
      <c r="B69" s="43"/>
      <c r="C69" s="43"/>
      <c r="K69" s="37"/>
      <c r="L69" s="43"/>
      <c r="M69" s="43"/>
      <c r="N69" s="37"/>
      <c r="O69" s="37"/>
      <c r="P69" s="37"/>
      <c r="Q69" s="37"/>
      <c r="R69" s="43"/>
      <c r="S69" s="37"/>
      <c r="T69" s="37"/>
      <c r="U69" s="947"/>
      <c r="V69" s="37"/>
      <c r="W69" s="37"/>
      <c r="X69" s="37"/>
      <c r="Y69" s="37"/>
      <c r="Z69" s="37"/>
      <c r="AA69" s="572"/>
      <c r="AB69" s="963"/>
      <c r="AC69" s="963"/>
      <c r="AD69" s="963"/>
      <c r="AE69" s="963"/>
      <c r="AF69" s="36">
        <v>11</v>
      </c>
    </row>
    <row r="70" s="36" customFormat="1" ht="11.55" customHeight="1" spans="1:32">
      <c r="A70" s="946"/>
      <c r="B70" s="43"/>
      <c r="C70" s="43"/>
      <c r="K70" s="37"/>
      <c r="L70" s="43"/>
      <c r="M70" s="43"/>
      <c r="N70" s="37"/>
      <c r="O70" s="37"/>
      <c r="P70" s="37"/>
      <c r="Q70" s="37"/>
      <c r="R70" s="43"/>
      <c r="S70" s="37"/>
      <c r="T70" s="37"/>
      <c r="U70" s="947"/>
      <c r="V70" s="37"/>
      <c r="W70" s="37"/>
      <c r="X70" s="37"/>
      <c r="Y70" s="37"/>
      <c r="Z70" s="37"/>
      <c r="AA70" s="572"/>
      <c r="AB70" s="963"/>
      <c r="AC70" s="963"/>
      <c r="AD70" s="963"/>
      <c r="AE70" s="963"/>
      <c r="AF70" s="36">
        <v>11</v>
      </c>
    </row>
    <row r="71" s="36" customFormat="1" ht="11.55" customHeight="1" spans="1:32">
      <c r="A71" s="946"/>
      <c r="B71" s="43"/>
      <c r="C71" s="43"/>
      <c r="K71" s="37"/>
      <c r="L71" s="43"/>
      <c r="M71" s="43"/>
      <c r="N71" s="37"/>
      <c r="O71" s="37"/>
      <c r="P71" s="37"/>
      <c r="Q71" s="37"/>
      <c r="R71" s="43"/>
      <c r="S71" s="37"/>
      <c r="T71" s="37"/>
      <c r="U71" s="947"/>
      <c r="V71" s="37"/>
      <c r="W71" s="37"/>
      <c r="X71" s="37"/>
      <c r="Y71" s="37"/>
      <c r="Z71" s="37"/>
      <c r="AA71" s="572"/>
      <c r="AB71" s="963"/>
      <c r="AC71" s="963"/>
      <c r="AD71" s="963"/>
      <c r="AE71" s="963"/>
      <c r="AF71" s="36">
        <v>11</v>
      </c>
    </row>
    <row r="72" s="36" customFormat="1" ht="11.55" customHeight="1" spans="1:32">
      <c r="A72" s="946"/>
      <c r="B72" s="43"/>
      <c r="C72" s="43"/>
      <c r="K72" s="37"/>
      <c r="L72" s="43"/>
      <c r="M72" s="43"/>
      <c r="N72" s="37"/>
      <c r="O72" s="37"/>
      <c r="P72" s="37"/>
      <c r="Q72" s="37"/>
      <c r="R72" s="43"/>
      <c r="S72" s="37"/>
      <c r="T72" s="37"/>
      <c r="U72" s="947"/>
      <c r="V72" s="37"/>
      <c r="W72" s="37"/>
      <c r="X72" s="37"/>
      <c r="Y72" s="37"/>
      <c r="Z72" s="37"/>
      <c r="AA72" s="572"/>
      <c r="AB72" s="963"/>
      <c r="AC72" s="963"/>
      <c r="AD72" s="963"/>
      <c r="AE72" s="963"/>
      <c r="AF72" s="36">
        <v>11</v>
      </c>
    </row>
    <row r="73" s="36" customFormat="1" ht="11.55" customHeight="1" spans="1:32">
      <c r="A73" s="946"/>
      <c r="B73" s="43"/>
      <c r="C73" s="43"/>
      <c r="K73" s="37"/>
      <c r="L73" s="43"/>
      <c r="M73" s="43"/>
      <c r="N73" s="37"/>
      <c r="O73" s="37"/>
      <c r="P73" s="37"/>
      <c r="Q73" s="37"/>
      <c r="R73" s="43"/>
      <c r="S73" s="37"/>
      <c r="T73" s="37"/>
      <c r="U73" s="947"/>
      <c r="V73" s="37"/>
      <c r="W73" s="37"/>
      <c r="X73" s="37"/>
      <c r="Y73" s="37"/>
      <c r="Z73" s="37"/>
      <c r="AA73" s="572"/>
      <c r="AB73" s="963"/>
      <c r="AC73" s="963"/>
      <c r="AD73" s="963"/>
      <c r="AE73" s="963"/>
      <c r="AF73" s="36">
        <v>11</v>
      </c>
    </row>
    <row r="74" s="36" customFormat="1" ht="11.55" customHeight="1" spans="1:32">
      <c r="A74" s="946"/>
      <c r="B74" s="43"/>
      <c r="C74" s="43"/>
      <c r="K74" s="37"/>
      <c r="L74" s="43"/>
      <c r="M74" s="43"/>
      <c r="N74" s="37"/>
      <c r="O74" s="37"/>
      <c r="P74" s="37"/>
      <c r="Q74" s="37"/>
      <c r="R74" s="43"/>
      <c r="S74" s="37"/>
      <c r="T74" s="37"/>
      <c r="U74" s="947"/>
      <c r="V74" s="37"/>
      <c r="W74" s="37"/>
      <c r="X74" s="37"/>
      <c r="Y74" s="37"/>
      <c r="Z74" s="37"/>
      <c r="AA74" s="572"/>
      <c r="AB74" s="963"/>
      <c r="AC74" s="963"/>
      <c r="AD74" s="963"/>
      <c r="AE74" s="963"/>
      <c r="AF74" s="36">
        <v>11</v>
      </c>
    </row>
    <row r="75" s="36" customFormat="1" ht="11.55" customHeight="1" spans="1:32">
      <c r="A75" s="946"/>
      <c r="B75" s="43"/>
      <c r="C75" s="43"/>
      <c r="K75" s="37"/>
      <c r="L75" s="43"/>
      <c r="M75" s="43"/>
      <c r="N75" s="37"/>
      <c r="O75" s="37"/>
      <c r="P75" s="37"/>
      <c r="Q75" s="37"/>
      <c r="R75" s="43"/>
      <c r="S75" s="37"/>
      <c r="T75" s="37"/>
      <c r="U75" s="947"/>
      <c r="V75" s="37"/>
      <c r="W75" s="37"/>
      <c r="X75" s="37"/>
      <c r="Y75" s="37"/>
      <c r="Z75" s="37"/>
      <c r="AA75" s="572"/>
      <c r="AB75" s="963"/>
      <c r="AC75" s="963"/>
      <c r="AD75" s="963"/>
      <c r="AE75" s="963"/>
      <c r="AF75" s="36">
        <v>11</v>
      </c>
    </row>
    <row r="76" s="36" customFormat="1" ht="11.55" customHeight="1" spans="1:32">
      <c r="A76" s="946"/>
      <c r="B76" s="43"/>
      <c r="C76" s="43"/>
      <c r="K76" s="37"/>
      <c r="L76" s="43"/>
      <c r="M76" s="43"/>
      <c r="N76" s="37"/>
      <c r="O76" s="37"/>
      <c r="P76" s="37"/>
      <c r="Q76" s="37"/>
      <c r="R76" s="43"/>
      <c r="S76" s="37"/>
      <c r="T76" s="37"/>
      <c r="U76" s="947"/>
      <c r="V76" s="37"/>
      <c r="W76" s="37"/>
      <c r="X76" s="37"/>
      <c r="Y76" s="37"/>
      <c r="Z76" s="37"/>
      <c r="AA76" s="572"/>
      <c r="AB76" s="963"/>
      <c r="AC76" s="963"/>
      <c r="AD76" s="963"/>
      <c r="AE76" s="963"/>
      <c r="AF76" s="36">
        <v>11</v>
      </c>
    </row>
    <row r="77" s="36" customFormat="1" ht="11.55" customHeight="1" spans="1:32">
      <c r="A77" s="946"/>
      <c r="B77" s="43"/>
      <c r="C77" s="43"/>
      <c r="K77" s="37"/>
      <c r="L77" s="43"/>
      <c r="M77" s="43"/>
      <c r="N77" s="37"/>
      <c r="O77" s="37"/>
      <c r="P77" s="37"/>
      <c r="Q77" s="37"/>
      <c r="R77" s="43"/>
      <c r="S77" s="37"/>
      <c r="T77" s="37"/>
      <c r="U77" s="947"/>
      <c r="V77" s="37"/>
      <c r="W77" s="37"/>
      <c r="X77" s="37"/>
      <c r="Y77" s="37"/>
      <c r="Z77" s="37"/>
      <c r="AA77" s="572"/>
      <c r="AB77" s="963"/>
      <c r="AC77" s="963"/>
      <c r="AD77" s="963"/>
      <c r="AE77" s="963"/>
      <c r="AF77" s="36">
        <v>11</v>
      </c>
    </row>
    <row r="78" s="36" customFormat="1" ht="11.55" customHeight="1" spans="1:32">
      <c r="A78" s="946"/>
      <c r="B78" s="43"/>
      <c r="C78" s="43"/>
      <c r="K78" s="37"/>
      <c r="L78" s="43"/>
      <c r="M78" s="43"/>
      <c r="N78" s="37"/>
      <c r="O78" s="37"/>
      <c r="P78" s="37"/>
      <c r="Q78" s="37"/>
      <c r="R78" s="43"/>
      <c r="S78" s="37"/>
      <c r="T78" s="37"/>
      <c r="U78" s="947"/>
      <c r="V78" s="37"/>
      <c r="W78" s="37"/>
      <c r="X78" s="37"/>
      <c r="Y78" s="37"/>
      <c r="Z78" s="37"/>
      <c r="AA78" s="572"/>
      <c r="AB78" s="963"/>
      <c r="AC78" s="963"/>
      <c r="AD78" s="963"/>
      <c r="AE78" s="963"/>
      <c r="AF78" s="36">
        <v>11</v>
      </c>
    </row>
    <row r="79" s="36" customFormat="1" ht="11.55" customHeight="1" spans="1:32">
      <c r="A79" s="946"/>
      <c r="B79" s="43"/>
      <c r="C79" s="43"/>
      <c r="K79" s="37"/>
      <c r="L79" s="43"/>
      <c r="M79" s="43"/>
      <c r="N79" s="37"/>
      <c r="O79" s="37"/>
      <c r="P79" s="37"/>
      <c r="Q79" s="37"/>
      <c r="R79" s="43"/>
      <c r="S79" s="37"/>
      <c r="T79" s="37"/>
      <c r="U79" s="947"/>
      <c r="V79" s="37"/>
      <c r="W79" s="37"/>
      <c r="X79" s="37"/>
      <c r="Y79" s="37"/>
      <c r="Z79" s="37"/>
      <c r="AA79" s="572"/>
      <c r="AB79" s="963"/>
      <c r="AC79" s="963"/>
      <c r="AD79" s="963"/>
      <c r="AE79" s="963"/>
      <c r="AF79" s="36">
        <v>11</v>
      </c>
    </row>
    <row r="80" s="36" customFormat="1" ht="11.55" customHeight="1" spans="1:32">
      <c r="A80" s="946"/>
      <c r="B80" s="43"/>
      <c r="C80" s="43"/>
      <c r="K80" s="37"/>
      <c r="L80" s="43"/>
      <c r="M80" s="43"/>
      <c r="N80" s="37"/>
      <c r="O80" s="37"/>
      <c r="P80" s="37"/>
      <c r="Q80" s="37"/>
      <c r="R80" s="43"/>
      <c r="S80" s="37"/>
      <c r="T80" s="37"/>
      <c r="U80" s="947"/>
      <c r="V80" s="37"/>
      <c r="W80" s="37"/>
      <c r="X80" s="37"/>
      <c r="Y80" s="37"/>
      <c r="Z80" s="37"/>
      <c r="AA80" s="572"/>
      <c r="AB80" s="963"/>
      <c r="AC80" s="963"/>
      <c r="AD80" s="963"/>
      <c r="AE80" s="963"/>
      <c r="AF80" s="36">
        <v>11</v>
      </c>
    </row>
    <row r="81" s="36" customFormat="1" ht="11.55" customHeight="1" spans="1:32">
      <c r="A81" s="946"/>
      <c r="B81" s="43"/>
      <c r="C81" s="43"/>
      <c r="K81" s="37"/>
      <c r="L81" s="43"/>
      <c r="M81" s="43"/>
      <c r="N81" s="37"/>
      <c r="O81" s="37"/>
      <c r="P81" s="37"/>
      <c r="Q81" s="37"/>
      <c r="R81" s="43"/>
      <c r="S81" s="37"/>
      <c r="T81" s="37"/>
      <c r="U81" s="947"/>
      <c r="V81" s="37"/>
      <c r="W81" s="37"/>
      <c r="X81" s="37"/>
      <c r="Y81" s="37"/>
      <c r="Z81" s="37"/>
      <c r="AA81" s="572"/>
      <c r="AB81" s="963"/>
      <c r="AC81" s="963"/>
      <c r="AD81" s="963"/>
      <c r="AE81" s="963"/>
      <c r="AF81" s="36">
        <v>11</v>
      </c>
    </row>
    <row r="82" s="36" customFormat="1" ht="11.55" customHeight="1" spans="1:32">
      <c r="A82" s="946"/>
      <c r="B82" s="43"/>
      <c r="C82" s="43"/>
      <c r="K82" s="37"/>
      <c r="L82" s="43"/>
      <c r="M82" s="43"/>
      <c r="N82" s="37"/>
      <c r="O82" s="37"/>
      <c r="P82" s="37"/>
      <c r="Q82" s="37"/>
      <c r="R82" s="43"/>
      <c r="S82" s="37"/>
      <c r="T82" s="37"/>
      <c r="U82" s="947"/>
      <c r="V82" s="37"/>
      <c r="W82" s="37"/>
      <c r="X82" s="37"/>
      <c r="Y82" s="37"/>
      <c r="Z82" s="37"/>
      <c r="AA82" s="572"/>
      <c r="AB82" s="963"/>
      <c r="AC82" s="963"/>
      <c r="AD82" s="963"/>
      <c r="AE82" s="963"/>
      <c r="AF82" s="36">
        <v>11</v>
      </c>
    </row>
    <row r="83" s="36" customFormat="1" ht="11.55" customHeight="1" spans="1:32">
      <c r="A83" s="946"/>
      <c r="B83" s="43"/>
      <c r="C83" s="43"/>
      <c r="K83" s="37"/>
      <c r="L83" s="43"/>
      <c r="M83" s="43"/>
      <c r="N83" s="37"/>
      <c r="O83" s="37"/>
      <c r="P83" s="37"/>
      <c r="Q83" s="37"/>
      <c r="R83" s="43"/>
      <c r="S83" s="37"/>
      <c r="T83" s="37"/>
      <c r="U83" s="947"/>
      <c r="V83" s="37"/>
      <c r="W83" s="37"/>
      <c r="X83" s="37"/>
      <c r="Y83" s="37"/>
      <c r="Z83" s="37"/>
      <c r="AA83" s="572"/>
      <c r="AB83" s="963"/>
      <c r="AC83" s="963"/>
      <c r="AD83" s="963"/>
      <c r="AE83" s="963"/>
      <c r="AF83" s="36">
        <v>11</v>
      </c>
    </row>
    <row r="84" s="36" customFormat="1" ht="11.55" customHeight="1" spans="1:32">
      <c r="A84" s="946"/>
      <c r="B84" s="43"/>
      <c r="C84" s="43"/>
      <c r="K84" s="37"/>
      <c r="L84" s="43"/>
      <c r="M84" s="43"/>
      <c r="N84" s="37"/>
      <c r="O84" s="37"/>
      <c r="P84" s="37"/>
      <c r="Q84" s="37"/>
      <c r="R84" s="43"/>
      <c r="S84" s="37"/>
      <c r="T84" s="37"/>
      <c r="U84" s="947"/>
      <c r="V84" s="37"/>
      <c r="W84" s="37"/>
      <c r="X84" s="37"/>
      <c r="Y84" s="37"/>
      <c r="Z84" s="37"/>
      <c r="AA84" s="572"/>
      <c r="AB84" s="963"/>
      <c r="AC84" s="963"/>
      <c r="AD84" s="963"/>
      <c r="AE84" s="963"/>
      <c r="AF84" s="36">
        <v>11</v>
      </c>
    </row>
    <row r="85" s="36" customFormat="1" ht="11.55" customHeight="1" spans="1:32">
      <c r="A85" s="946"/>
      <c r="B85" s="43"/>
      <c r="C85" s="43"/>
      <c r="K85" s="37"/>
      <c r="L85" s="43"/>
      <c r="M85" s="43"/>
      <c r="N85" s="37"/>
      <c r="O85" s="37"/>
      <c r="P85" s="37"/>
      <c r="Q85" s="37"/>
      <c r="R85" s="43"/>
      <c r="S85" s="37"/>
      <c r="T85" s="37"/>
      <c r="U85" s="947"/>
      <c r="V85" s="37"/>
      <c r="W85" s="37"/>
      <c r="X85" s="37"/>
      <c r="Y85" s="37"/>
      <c r="Z85" s="37"/>
      <c r="AA85" s="572"/>
      <c r="AB85" s="963"/>
      <c r="AC85" s="963"/>
      <c r="AD85" s="963"/>
      <c r="AE85" s="963"/>
      <c r="AF85" s="36">
        <v>11</v>
      </c>
    </row>
    <row r="86" s="36" customFormat="1" ht="11.55" customHeight="1" spans="1:32">
      <c r="A86" s="946"/>
      <c r="B86" s="43"/>
      <c r="C86" s="43"/>
      <c r="K86" s="37"/>
      <c r="L86" s="43"/>
      <c r="M86" s="43"/>
      <c r="N86" s="37"/>
      <c r="O86" s="37"/>
      <c r="P86" s="37"/>
      <c r="Q86" s="37"/>
      <c r="R86" s="43"/>
      <c r="S86" s="37"/>
      <c r="T86" s="37"/>
      <c r="U86" s="947"/>
      <c r="V86" s="37"/>
      <c r="W86" s="37"/>
      <c r="X86" s="37"/>
      <c r="Y86" s="37"/>
      <c r="Z86" s="37"/>
      <c r="AA86" s="572"/>
      <c r="AB86" s="963"/>
      <c r="AC86" s="963"/>
      <c r="AD86" s="963"/>
      <c r="AE86" s="963"/>
      <c r="AF86" s="36">
        <v>11</v>
      </c>
    </row>
    <row r="87" s="36" customFormat="1" ht="11.55" customHeight="1" spans="1:32">
      <c r="A87" s="946"/>
      <c r="B87" s="43"/>
      <c r="C87" s="43"/>
      <c r="K87" s="37"/>
      <c r="L87" s="43"/>
      <c r="M87" s="43"/>
      <c r="N87" s="37"/>
      <c r="O87" s="37"/>
      <c r="P87" s="37"/>
      <c r="Q87" s="37"/>
      <c r="R87" s="43"/>
      <c r="S87" s="37"/>
      <c r="T87" s="37"/>
      <c r="U87" s="947"/>
      <c r="V87" s="37"/>
      <c r="W87" s="37"/>
      <c r="X87" s="37"/>
      <c r="Y87" s="37"/>
      <c r="Z87" s="37"/>
      <c r="AA87" s="572"/>
      <c r="AB87" s="963"/>
      <c r="AC87" s="963"/>
      <c r="AD87" s="963"/>
      <c r="AE87" s="963"/>
      <c r="AF87" s="36">
        <v>11</v>
      </c>
    </row>
    <row r="88" s="36" customFormat="1" ht="11.55" customHeight="1" spans="1:32">
      <c r="A88" s="946"/>
      <c r="B88" s="43"/>
      <c r="C88" s="43"/>
      <c r="K88" s="37"/>
      <c r="L88" s="43"/>
      <c r="M88" s="43"/>
      <c r="N88" s="37"/>
      <c r="O88" s="37"/>
      <c r="P88" s="37"/>
      <c r="Q88" s="37"/>
      <c r="R88" s="43"/>
      <c r="S88" s="37"/>
      <c r="T88" s="37"/>
      <c r="U88" s="947"/>
      <c r="V88" s="37"/>
      <c r="W88" s="37"/>
      <c r="X88" s="37"/>
      <c r="Y88" s="37"/>
      <c r="Z88" s="37"/>
      <c r="AA88" s="572"/>
      <c r="AB88" s="963"/>
      <c r="AC88" s="963"/>
      <c r="AD88" s="963"/>
      <c r="AE88" s="963"/>
      <c r="AF88" s="36">
        <v>11</v>
      </c>
    </row>
    <row r="89" s="36" customFormat="1" ht="11.55" customHeight="1" spans="1:32">
      <c r="A89" s="946"/>
      <c r="B89" s="43"/>
      <c r="C89" s="43"/>
      <c r="K89" s="37"/>
      <c r="L89" s="43"/>
      <c r="M89" s="43"/>
      <c r="N89" s="37"/>
      <c r="O89" s="37"/>
      <c r="P89" s="37"/>
      <c r="Q89" s="37"/>
      <c r="R89" s="43"/>
      <c r="S89" s="37"/>
      <c r="T89" s="37"/>
      <c r="U89" s="947"/>
      <c r="V89" s="37"/>
      <c r="W89" s="37"/>
      <c r="X89" s="37"/>
      <c r="Y89" s="37"/>
      <c r="Z89" s="37"/>
      <c r="AA89" s="572"/>
      <c r="AB89" s="963"/>
      <c r="AC89" s="963"/>
      <c r="AD89" s="963"/>
      <c r="AE89" s="963"/>
      <c r="AF89" s="36">
        <v>11</v>
      </c>
    </row>
    <row r="90" s="36" customFormat="1" ht="11.55" customHeight="1" spans="1:32">
      <c r="A90" s="946"/>
      <c r="B90" s="43"/>
      <c r="C90" s="43"/>
      <c r="K90" s="37"/>
      <c r="L90" s="43"/>
      <c r="M90" s="43"/>
      <c r="N90" s="37"/>
      <c r="O90" s="37"/>
      <c r="P90" s="37"/>
      <c r="Q90" s="37"/>
      <c r="R90" s="43"/>
      <c r="S90" s="37"/>
      <c r="T90" s="37"/>
      <c r="U90" s="947"/>
      <c r="V90" s="37"/>
      <c r="W90" s="37"/>
      <c r="X90" s="37"/>
      <c r="Y90" s="37"/>
      <c r="Z90" s="37"/>
      <c r="AA90" s="572"/>
      <c r="AB90" s="963"/>
      <c r="AC90" s="963"/>
      <c r="AD90" s="963"/>
      <c r="AE90" s="963"/>
      <c r="AF90" s="36">
        <v>11</v>
      </c>
    </row>
    <row r="91" s="36" customFormat="1" ht="11.55" customHeight="1" spans="1:32">
      <c r="A91" s="946"/>
      <c r="B91" s="43"/>
      <c r="C91" s="43"/>
      <c r="K91" s="37"/>
      <c r="L91" s="43"/>
      <c r="M91" s="43"/>
      <c r="N91" s="37"/>
      <c r="O91" s="37"/>
      <c r="P91" s="37"/>
      <c r="Q91" s="37"/>
      <c r="R91" s="43"/>
      <c r="S91" s="37"/>
      <c r="T91" s="37"/>
      <c r="U91" s="947"/>
      <c r="V91" s="37"/>
      <c r="W91" s="37"/>
      <c r="X91" s="37"/>
      <c r="Y91" s="37"/>
      <c r="Z91" s="37"/>
      <c r="AA91" s="572"/>
      <c r="AB91" s="963"/>
      <c r="AC91" s="963"/>
      <c r="AD91" s="963"/>
      <c r="AE91" s="963"/>
      <c r="AF91" s="36">
        <v>11</v>
      </c>
    </row>
    <row r="92" s="36" customFormat="1" ht="11.55" customHeight="1" spans="1:32">
      <c r="A92" s="946"/>
      <c r="B92" s="43"/>
      <c r="C92" s="43"/>
      <c r="K92" s="37"/>
      <c r="L92" s="43"/>
      <c r="M92" s="43"/>
      <c r="N92" s="37"/>
      <c r="O92" s="37"/>
      <c r="P92" s="37"/>
      <c r="Q92" s="37"/>
      <c r="R92" s="43"/>
      <c r="S92" s="37"/>
      <c r="T92" s="37"/>
      <c r="U92" s="947"/>
      <c r="V92" s="37"/>
      <c r="W92" s="37"/>
      <c r="X92" s="37"/>
      <c r="Y92" s="37"/>
      <c r="Z92" s="37"/>
      <c r="AA92" s="572"/>
      <c r="AB92" s="963"/>
      <c r="AC92" s="963"/>
      <c r="AD92" s="963"/>
      <c r="AE92" s="963"/>
      <c r="AF92" s="36">
        <v>11</v>
      </c>
    </row>
    <row r="93" s="36" customFormat="1" ht="11.55" customHeight="1" spans="1:32">
      <c r="A93" s="946"/>
      <c r="B93" s="43"/>
      <c r="C93" s="43"/>
      <c r="K93" s="37"/>
      <c r="L93" s="43"/>
      <c r="M93" s="43"/>
      <c r="N93" s="37"/>
      <c r="O93" s="37"/>
      <c r="P93" s="37"/>
      <c r="Q93" s="37"/>
      <c r="R93" s="43"/>
      <c r="S93" s="37"/>
      <c r="T93" s="37"/>
      <c r="U93" s="947"/>
      <c r="V93" s="37"/>
      <c r="W93" s="37"/>
      <c r="X93" s="37"/>
      <c r="Y93" s="37"/>
      <c r="Z93" s="37"/>
      <c r="AA93" s="572"/>
      <c r="AB93" s="963"/>
      <c r="AC93" s="963"/>
      <c r="AD93" s="963"/>
      <c r="AE93" s="963"/>
      <c r="AF93" s="36">
        <v>11</v>
      </c>
    </row>
    <row r="94" s="36" customFormat="1" ht="11.55" customHeight="1" spans="1:32">
      <c r="A94" s="946"/>
      <c r="B94" s="43"/>
      <c r="C94" s="43"/>
      <c r="K94" s="37"/>
      <c r="L94" s="43"/>
      <c r="M94" s="43"/>
      <c r="N94" s="37"/>
      <c r="O94" s="37"/>
      <c r="P94" s="37"/>
      <c r="Q94" s="37"/>
      <c r="R94" s="43"/>
      <c r="S94" s="37"/>
      <c r="T94" s="37"/>
      <c r="U94" s="947"/>
      <c r="V94" s="37"/>
      <c r="W94" s="37"/>
      <c r="X94" s="37"/>
      <c r="Y94" s="37"/>
      <c r="Z94" s="37"/>
      <c r="AA94" s="572"/>
      <c r="AB94" s="963"/>
      <c r="AC94" s="963"/>
      <c r="AD94" s="963"/>
      <c r="AE94" s="963"/>
      <c r="AF94" s="36">
        <v>11</v>
      </c>
    </row>
    <row r="95" s="36" customFormat="1" ht="11.55" customHeight="1" spans="1:32">
      <c r="A95" s="946"/>
      <c r="B95" s="43"/>
      <c r="C95" s="43"/>
      <c r="K95" s="37"/>
      <c r="L95" s="43"/>
      <c r="M95" s="43"/>
      <c r="N95" s="37"/>
      <c r="O95" s="37"/>
      <c r="P95" s="37"/>
      <c r="Q95" s="37"/>
      <c r="R95" s="43"/>
      <c r="S95" s="37"/>
      <c r="T95" s="37"/>
      <c r="U95" s="947"/>
      <c r="V95" s="37"/>
      <c r="W95" s="37"/>
      <c r="X95" s="37"/>
      <c r="Y95" s="37"/>
      <c r="Z95" s="37"/>
      <c r="AA95" s="572"/>
      <c r="AB95" s="963"/>
      <c r="AC95" s="963"/>
      <c r="AD95" s="963"/>
      <c r="AE95" s="963"/>
      <c r="AF95" s="36">
        <v>11</v>
      </c>
    </row>
    <row r="96" s="36" customFormat="1" ht="11.55" customHeight="1" spans="1:32">
      <c r="A96" s="946"/>
      <c r="B96" s="43"/>
      <c r="C96" s="43"/>
      <c r="K96" s="37"/>
      <c r="L96" s="43"/>
      <c r="M96" s="43"/>
      <c r="N96" s="37"/>
      <c r="O96" s="37"/>
      <c r="P96" s="37"/>
      <c r="Q96" s="37"/>
      <c r="R96" s="43"/>
      <c r="S96" s="37"/>
      <c r="T96" s="37"/>
      <c r="U96" s="947"/>
      <c r="V96" s="37"/>
      <c r="W96" s="37"/>
      <c r="X96" s="37"/>
      <c r="Y96" s="37"/>
      <c r="Z96" s="37"/>
      <c r="AA96" s="572"/>
      <c r="AB96" s="963"/>
      <c r="AC96" s="963"/>
      <c r="AD96" s="963"/>
      <c r="AE96" s="963"/>
      <c r="AF96" s="36">
        <v>11</v>
      </c>
    </row>
    <row r="97" s="36" customFormat="1" ht="11.55" customHeight="1" spans="1:32">
      <c r="A97" s="946"/>
      <c r="B97" s="43"/>
      <c r="C97" s="43"/>
      <c r="K97" s="37"/>
      <c r="L97" s="43"/>
      <c r="M97" s="43"/>
      <c r="N97" s="37"/>
      <c r="O97" s="37"/>
      <c r="P97" s="37"/>
      <c r="Q97" s="37"/>
      <c r="R97" s="43"/>
      <c r="S97" s="37"/>
      <c r="T97" s="37"/>
      <c r="U97" s="947"/>
      <c r="V97" s="37"/>
      <c r="W97" s="37"/>
      <c r="X97" s="37"/>
      <c r="Y97" s="37"/>
      <c r="Z97" s="37"/>
      <c r="AA97" s="572"/>
      <c r="AB97" s="963"/>
      <c r="AC97" s="963"/>
      <c r="AD97" s="963"/>
      <c r="AE97" s="963"/>
      <c r="AF97" s="36">
        <v>11</v>
      </c>
    </row>
    <row r="98" s="36" customFormat="1" ht="11.55" customHeight="1" spans="1:32">
      <c r="A98" s="946"/>
      <c r="B98" s="43"/>
      <c r="C98" s="43"/>
      <c r="K98" s="37"/>
      <c r="L98" s="43"/>
      <c r="M98" s="43"/>
      <c r="N98" s="37"/>
      <c r="O98" s="37"/>
      <c r="P98" s="37"/>
      <c r="Q98" s="37"/>
      <c r="R98" s="43"/>
      <c r="S98" s="37"/>
      <c r="T98" s="37"/>
      <c r="U98" s="947"/>
      <c r="V98" s="37"/>
      <c r="W98" s="37"/>
      <c r="X98" s="37"/>
      <c r="Y98" s="37"/>
      <c r="Z98" s="37"/>
      <c r="AA98" s="572"/>
      <c r="AB98" s="963"/>
      <c r="AC98" s="963"/>
      <c r="AD98" s="963"/>
      <c r="AE98" s="963"/>
      <c r="AF98" s="36">
        <v>11</v>
      </c>
    </row>
    <row r="99" s="36" customFormat="1" ht="11.55" customHeight="1" spans="1:32">
      <c r="A99" s="946"/>
      <c r="B99" s="43"/>
      <c r="C99" s="43"/>
      <c r="K99" s="37"/>
      <c r="L99" s="43"/>
      <c r="M99" s="43"/>
      <c r="N99" s="37"/>
      <c r="O99" s="37"/>
      <c r="P99" s="37"/>
      <c r="Q99" s="37"/>
      <c r="R99" s="43"/>
      <c r="S99" s="37"/>
      <c r="T99" s="37"/>
      <c r="U99" s="947"/>
      <c r="V99" s="37"/>
      <c r="W99" s="37"/>
      <c r="X99" s="37"/>
      <c r="Y99" s="37"/>
      <c r="Z99" s="37"/>
      <c r="AA99" s="572"/>
      <c r="AB99" s="963"/>
      <c r="AC99" s="963"/>
      <c r="AD99" s="963"/>
      <c r="AE99" s="963"/>
      <c r="AF99" s="36">
        <v>11</v>
      </c>
    </row>
    <row r="100" s="36" customFormat="1" ht="11.55" customHeight="1" spans="1:32">
      <c r="A100" s="946"/>
      <c r="B100" s="43"/>
      <c r="C100" s="43"/>
      <c r="K100" s="37"/>
      <c r="L100" s="43"/>
      <c r="M100" s="43"/>
      <c r="N100" s="37"/>
      <c r="O100" s="37"/>
      <c r="P100" s="37"/>
      <c r="Q100" s="37"/>
      <c r="R100" s="43"/>
      <c r="S100" s="37"/>
      <c r="T100" s="37"/>
      <c r="U100" s="947"/>
      <c r="V100" s="37"/>
      <c r="W100" s="37"/>
      <c r="X100" s="37"/>
      <c r="Y100" s="37"/>
      <c r="Z100" s="37"/>
      <c r="AA100" s="572"/>
      <c r="AB100" s="963"/>
      <c r="AC100" s="963"/>
      <c r="AD100" s="963"/>
      <c r="AE100" s="963"/>
      <c r="AF100" s="36">
        <v>11</v>
      </c>
    </row>
    <row r="101" s="36" customFormat="1" ht="11.55" customHeight="1" spans="1:32">
      <c r="A101" s="946"/>
      <c r="B101" s="43"/>
      <c r="C101" s="43"/>
      <c r="K101" s="37"/>
      <c r="L101" s="43"/>
      <c r="M101" s="43"/>
      <c r="N101" s="37"/>
      <c r="O101" s="37"/>
      <c r="P101" s="37"/>
      <c r="Q101" s="37"/>
      <c r="R101" s="43"/>
      <c r="S101" s="37"/>
      <c r="T101" s="37"/>
      <c r="U101" s="947"/>
      <c r="V101" s="37"/>
      <c r="W101" s="37"/>
      <c r="X101" s="37"/>
      <c r="Y101" s="37"/>
      <c r="Z101" s="37"/>
      <c r="AA101" s="572"/>
      <c r="AB101" s="963"/>
      <c r="AC101" s="963"/>
      <c r="AD101" s="963"/>
      <c r="AE101" s="963"/>
      <c r="AF101" s="36">
        <v>11</v>
      </c>
    </row>
    <row r="102" s="36" customFormat="1" ht="11.55" customHeight="1" spans="1:32">
      <c r="A102" s="946"/>
      <c r="B102" s="43"/>
      <c r="C102" s="43"/>
      <c r="K102" s="37"/>
      <c r="L102" s="43"/>
      <c r="M102" s="43"/>
      <c r="N102" s="37"/>
      <c r="O102" s="37"/>
      <c r="P102" s="37"/>
      <c r="Q102" s="37"/>
      <c r="R102" s="43"/>
      <c r="S102" s="37"/>
      <c r="T102" s="37"/>
      <c r="U102" s="947"/>
      <c r="V102" s="37"/>
      <c r="W102" s="37"/>
      <c r="X102" s="37"/>
      <c r="Y102" s="37"/>
      <c r="Z102" s="37"/>
      <c r="AA102" s="572"/>
      <c r="AB102" s="963"/>
      <c r="AC102" s="963"/>
      <c r="AD102" s="963"/>
      <c r="AE102" s="963"/>
      <c r="AF102" s="36">
        <v>11</v>
      </c>
    </row>
    <row r="103" s="36" customFormat="1" ht="11.55" customHeight="1" spans="1:32">
      <c r="A103" s="946"/>
      <c r="B103" s="43"/>
      <c r="C103" s="43"/>
      <c r="K103" s="37"/>
      <c r="L103" s="43"/>
      <c r="M103" s="43"/>
      <c r="N103" s="37"/>
      <c r="O103" s="37"/>
      <c r="P103" s="37"/>
      <c r="Q103" s="37"/>
      <c r="R103" s="43"/>
      <c r="S103" s="37"/>
      <c r="T103" s="37"/>
      <c r="U103" s="947"/>
      <c r="V103" s="37"/>
      <c r="W103" s="37"/>
      <c r="X103" s="37"/>
      <c r="Y103" s="37"/>
      <c r="Z103" s="37"/>
      <c r="AA103" s="572"/>
      <c r="AB103" s="963"/>
      <c r="AC103" s="963"/>
      <c r="AD103" s="963"/>
      <c r="AE103" s="963"/>
      <c r="AF103" s="36">
        <v>11</v>
      </c>
    </row>
    <row r="104" s="36" customFormat="1" ht="11.55" customHeight="1" spans="1:32">
      <c r="A104" s="946"/>
      <c r="B104" s="43"/>
      <c r="C104" s="43"/>
      <c r="K104" s="37"/>
      <c r="L104" s="43"/>
      <c r="M104" s="43"/>
      <c r="N104" s="37"/>
      <c r="O104" s="37"/>
      <c r="P104" s="37"/>
      <c r="Q104" s="37"/>
      <c r="R104" s="43"/>
      <c r="S104" s="37"/>
      <c r="T104" s="37"/>
      <c r="U104" s="947"/>
      <c r="V104" s="37"/>
      <c r="W104" s="37"/>
      <c r="X104" s="37"/>
      <c r="Y104" s="37"/>
      <c r="Z104" s="37"/>
      <c r="AA104" s="572"/>
      <c r="AB104" s="963"/>
      <c r="AC104" s="963"/>
      <c r="AD104" s="963"/>
      <c r="AE104" s="963"/>
      <c r="AF104" s="36">
        <v>11</v>
      </c>
    </row>
    <row r="105" s="36" customFormat="1" ht="11.55" customHeight="1" spans="1:32">
      <c r="A105" s="946"/>
      <c r="B105" s="43"/>
      <c r="C105" s="43"/>
      <c r="K105" s="37"/>
      <c r="L105" s="43"/>
      <c r="M105" s="43"/>
      <c r="N105" s="37"/>
      <c r="O105" s="37"/>
      <c r="P105" s="37"/>
      <c r="Q105" s="37"/>
      <c r="R105" s="43"/>
      <c r="S105" s="37"/>
      <c r="T105" s="37"/>
      <c r="U105" s="947"/>
      <c r="V105" s="37"/>
      <c r="W105" s="37"/>
      <c r="X105" s="37"/>
      <c r="Y105" s="37"/>
      <c r="Z105" s="37"/>
      <c r="AA105" s="572"/>
      <c r="AB105" s="963"/>
      <c r="AC105" s="963"/>
      <c r="AD105" s="963"/>
      <c r="AE105" s="963"/>
      <c r="AF105" s="36">
        <v>11</v>
      </c>
    </row>
    <row r="106" s="36" customFormat="1" ht="11.55" customHeight="1" spans="1:32">
      <c r="A106" s="946"/>
      <c r="B106" s="43"/>
      <c r="C106" s="43"/>
      <c r="K106" s="37"/>
      <c r="L106" s="43"/>
      <c r="M106" s="43"/>
      <c r="N106" s="37"/>
      <c r="O106" s="37"/>
      <c r="P106" s="37"/>
      <c r="Q106" s="37"/>
      <c r="R106" s="43"/>
      <c r="S106" s="37"/>
      <c r="T106" s="37"/>
      <c r="U106" s="947"/>
      <c r="V106" s="37"/>
      <c r="W106" s="37"/>
      <c r="X106" s="37"/>
      <c r="Y106" s="37"/>
      <c r="Z106" s="37"/>
      <c r="AA106" s="572"/>
      <c r="AB106" s="963"/>
      <c r="AC106" s="963"/>
      <c r="AD106" s="963"/>
      <c r="AE106" s="963"/>
      <c r="AF106" s="36">
        <v>11</v>
      </c>
    </row>
    <row r="107" s="36" customFormat="1" ht="11.55" customHeight="1" spans="1:32">
      <c r="A107" s="946"/>
      <c r="B107" s="43"/>
      <c r="C107" s="43"/>
      <c r="K107" s="37"/>
      <c r="L107" s="43"/>
      <c r="M107" s="43"/>
      <c r="N107" s="37"/>
      <c r="O107" s="37"/>
      <c r="P107" s="37"/>
      <c r="Q107" s="37"/>
      <c r="R107" s="43"/>
      <c r="S107" s="37"/>
      <c r="T107" s="37"/>
      <c r="U107" s="947"/>
      <c r="V107" s="37"/>
      <c r="W107" s="37"/>
      <c r="X107" s="37"/>
      <c r="Y107" s="37"/>
      <c r="Z107" s="37"/>
      <c r="AA107" s="572"/>
      <c r="AB107" s="963"/>
      <c r="AC107" s="963"/>
      <c r="AD107" s="963"/>
      <c r="AE107" s="963"/>
      <c r="AF107" s="36">
        <v>11</v>
      </c>
    </row>
    <row r="108" s="36" customFormat="1" ht="11.55" customHeight="1" spans="1:32">
      <c r="A108" s="946"/>
      <c r="B108" s="43"/>
      <c r="C108" s="43"/>
      <c r="K108" s="37"/>
      <c r="L108" s="43"/>
      <c r="M108" s="43"/>
      <c r="N108" s="37"/>
      <c r="O108" s="37"/>
      <c r="P108" s="37"/>
      <c r="Q108" s="37"/>
      <c r="R108" s="43"/>
      <c r="S108" s="37"/>
      <c r="T108" s="37"/>
      <c r="U108" s="947"/>
      <c r="V108" s="37"/>
      <c r="W108" s="37"/>
      <c r="X108" s="37"/>
      <c r="Y108" s="37"/>
      <c r="Z108" s="37"/>
      <c r="AA108" s="572"/>
      <c r="AB108" s="963"/>
      <c r="AC108" s="963"/>
      <c r="AD108" s="963"/>
      <c r="AE108" s="963"/>
      <c r="AF108" s="36">
        <v>11</v>
      </c>
    </row>
    <row r="109" s="36" customFormat="1" ht="11.55" customHeight="1" spans="1:32">
      <c r="A109" s="946"/>
      <c r="B109" s="43"/>
      <c r="C109" s="43"/>
      <c r="K109" s="37"/>
      <c r="L109" s="43"/>
      <c r="M109" s="43"/>
      <c r="N109" s="37"/>
      <c r="O109" s="37"/>
      <c r="P109" s="37"/>
      <c r="Q109" s="37"/>
      <c r="R109" s="43"/>
      <c r="S109" s="37"/>
      <c r="T109" s="37"/>
      <c r="U109" s="947"/>
      <c r="V109" s="37"/>
      <c r="W109" s="37"/>
      <c r="X109" s="37"/>
      <c r="Y109" s="37"/>
      <c r="Z109" s="37"/>
      <c r="AA109" s="572"/>
      <c r="AB109" s="963"/>
      <c r="AC109" s="963"/>
      <c r="AD109" s="963"/>
      <c r="AE109" s="963"/>
      <c r="AF109" s="36">
        <v>11</v>
      </c>
    </row>
    <row r="110" s="36" customFormat="1" ht="11.55" customHeight="1" spans="1:32">
      <c r="A110" s="946"/>
      <c r="B110" s="43"/>
      <c r="C110" s="43"/>
      <c r="K110" s="37"/>
      <c r="L110" s="43"/>
      <c r="M110" s="43"/>
      <c r="N110" s="37"/>
      <c r="O110" s="37"/>
      <c r="P110" s="37"/>
      <c r="Q110" s="37"/>
      <c r="R110" s="43"/>
      <c r="S110" s="37"/>
      <c r="T110" s="37"/>
      <c r="U110" s="947"/>
      <c r="V110" s="37"/>
      <c r="W110" s="37"/>
      <c r="X110" s="37"/>
      <c r="Y110" s="37"/>
      <c r="Z110" s="37"/>
      <c r="AA110" s="572"/>
      <c r="AB110" s="963"/>
      <c r="AC110" s="963"/>
      <c r="AD110" s="963"/>
      <c r="AE110" s="963"/>
      <c r="AF110" s="36">
        <v>11</v>
      </c>
    </row>
    <row r="111" s="36" customFormat="1" ht="11.55" customHeight="1" spans="1:32">
      <c r="A111" s="946"/>
      <c r="B111" s="43"/>
      <c r="C111" s="43"/>
      <c r="K111" s="37"/>
      <c r="L111" s="43"/>
      <c r="M111" s="43"/>
      <c r="N111" s="37"/>
      <c r="O111" s="37"/>
      <c r="P111" s="37"/>
      <c r="Q111" s="37"/>
      <c r="R111" s="43"/>
      <c r="S111" s="37"/>
      <c r="T111" s="37"/>
      <c r="U111" s="947"/>
      <c r="V111" s="37"/>
      <c r="W111" s="37"/>
      <c r="X111" s="37"/>
      <c r="Y111" s="37"/>
      <c r="Z111" s="37"/>
      <c r="AA111" s="572"/>
      <c r="AB111" s="963"/>
      <c r="AC111" s="963"/>
      <c r="AD111" s="963"/>
      <c r="AE111" s="963"/>
      <c r="AF111" s="36">
        <v>11</v>
      </c>
    </row>
    <row r="112" s="36" customFormat="1" ht="11.55" customHeight="1" spans="1:32">
      <c r="A112" s="946"/>
      <c r="B112" s="43"/>
      <c r="C112" s="43"/>
      <c r="K112" s="37"/>
      <c r="L112" s="43"/>
      <c r="M112" s="43"/>
      <c r="N112" s="37"/>
      <c r="O112" s="37"/>
      <c r="P112" s="37"/>
      <c r="Q112" s="37"/>
      <c r="R112" s="43"/>
      <c r="S112" s="37"/>
      <c r="T112" s="37"/>
      <c r="U112" s="947"/>
      <c r="V112" s="37"/>
      <c r="W112" s="37"/>
      <c r="X112" s="37"/>
      <c r="Y112" s="37"/>
      <c r="Z112" s="37"/>
      <c r="AA112" s="572"/>
      <c r="AB112" s="963"/>
      <c r="AC112" s="963"/>
      <c r="AD112" s="963"/>
      <c r="AE112" s="963"/>
      <c r="AF112" s="36">
        <v>11</v>
      </c>
    </row>
    <row r="113" s="36" customFormat="1" ht="11.55" customHeight="1" spans="1:32">
      <c r="A113" s="946"/>
      <c r="B113" s="43"/>
      <c r="C113" s="43"/>
      <c r="K113" s="37"/>
      <c r="L113" s="43"/>
      <c r="M113" s="43"/>
      <c r="N113" s="37"/>
      <c r="O113" s="37"/>
      <c r="P113" s="37"/>
      <c r="Q113" s="37"/>
      <c r="R113" s="43"/>
      <c r="S113" s="37"/>
      <c r="T113" s="37"/>
      <c r="U113" s="947"/>
      <c r="V113" s="37"/>
      <c r="W113" s="37"/>
      <c r="X113" s="37"/>
      <c r="Y113" s="37"/>
      <c r="Z113" s="37"/>
      <c r="AA113" s="572"/>
      <c r="AB113" s="963"/>
      <c r="AC113" s="963"/>
      <c r="AD113" s="963"/>
      <c r="AE113" s="963"/>
      <c r="AF113" s="36">
        <v>11</v>
      </c>
    </row>
    <row r="114" s="36" customFormat="1" ht="11.55" customHeight="1" spans="1:32">
      <c r="A114" s="946"/>
      <c r="B114" s="43"/>
      <c r="C114" s="43"/>
      <c r="K114" s="37"/>
      <c r="L114" s="43"/>
      <c r="M114" s="43"/>
      <c r="N114" s="37"/>
      <c r="O114" s="37"/>
      <c r="P114" s="37"/>
      <c r="Q114" s="37"/>
      <c r="R114" s="43"/>
      <c r="S114" s="37"/>
      <c r="T114" s="37"/>
      <c r="U114" s="947"/>
      <c r="V114" s="37"/>
      <c r="W114" s="37"/>
      <c r="X114" s="37"/>
      <c r="Y114" s="37"/>
      <c r="Z114" s="37"/>
      <c r="AA114" s="572"/>
      <c r="AB114" s="963"/>
      <c r="AC114" s="963"/>
      <c r="AD114" s="963"/>
      <c r="AE114" s="963"/>
      <c r="AF114" s="36">
        <v>11</v>
      </c>
    </row>
    <row r="115" s="36" customFormat="1" ht="11.55" customHeight="1" spans="1:32">
      <c r="A115" s="946"/>
      <c r="B115" s="43"/>
      <c r="C115" s="43"/>
      <c r="K115" s="37"/>
      <c r="L115" s="43"/>
      <c r="M115" s="43"/>
      <c r="N115" s="37"/>
      <c r="O115" s="37"/>
      <c r="P115" s="37"/>
      <c r="Q115" s="37"/>
      <c r="R115" s="43"/>
      <c r="S115" s="37"/>
      <c r="T115" s="37"/>
      <c r="U115" s="947"/>
      <c r="V115" s="37"/>
      <c r="W115" s="37"/>
      <c r="X115" s="37"/>
      <c r="Y115" s="37"/>
      <c r="Z115" s="37"/>
      <c r="AA115" s="572"/>
      <c r="AB115" s="963"/>
      <c r="AC115" s="963"/>
      <c r="AD115" s="963"/>
      <c r="AE115" s="963"/>
      <c r="AF115" s="36">
        <v>11</v>
      </c>
    </row>
    <row r="116" s="36" customFormat="1" ht="11.55" customHeight="1" spans="1:32">
      <c r="A116" s="946"/>
      <c r="B116" s="43"/>
      <c r="C116" s="43"/>
      <c r="K116" s="37"/>
      <c r="L116" s="43"/>
      <c r="M116" s="43"/>
      <c r="N116" s="37"/>
      <c r="O116" s="37"/>
      <c r="P116" s="37"/>
      <c r="Q116" s="37"/>
      <c r="R116" s="43"/>
      <c r="S116" s="37"/>
      <c r="T116" s="37"/>
      <c r="U116" s="947"/>
      <c r="V116" s="37"/>
      <c r="W116" s="37"/>
      <c r="X116" s="37"/>
      <c r="Y116" s="37"/>
      <c r="Z116" s="37"/>
      <c r="AA116" s="572"/>
      <c r="AB116" s="963"/>
      <c r="AC116" s="963"/>
      <c r="AD116" s="963"/>
      <c r="AE116" s="963"/>
      <c r="AF116" s="36">
        <v>11</v>
      </c>
    </row>
    <row r="117" s="36" customFormat="1" ht="11.55" customHeight="1" spans="1:32">
      <c r="A117" s="946"/>
      <c r="B117" s="43"/>
      <c r="C117" s="43"/>
      <c r="K117" s="37"/>
      <c r="L117" s="43"/>
      <c r="M117" s="43"/>
      <c r="N117" s="37"/>
      <c r="O117" s="37"/>
      <c r="P117" s="37"/>
      <c r="Q117" s="37"/>
      <c r="R117" s="43"/>
      <c r="S117" s="37"/>
      <c r="T117" s="37"/>
      <c r="U117" s="947"/>
      <c r="V117" s="37"/>
      <c r="W117" s="37"/>
      <c r="X117" s="37"/>
      <c r="Y117" s="37"/>
      <c r="Z117" s="37"/>
      <c r="AA117" s="572"/>
      <c r="AB117" s="963"/>
      <c r="AC117" s="963"/>
      <c r="AD117" s="963"/>
      <c r="AE117" s="963"/>
      <c r="AF117" s="36">
        <v>11</v>
      </c>
    </row>
    <row r="118" s="36" customFormat="1" ht="11.55" customHeight="1" spans="1:32">
      <c r="A118" s="946"/>
      <c r="B118" s="43"/>
      <c r="C118" s="43"/>
      <c r="K118" s="37"/>
      <c r="L118" s="43"/>
      <c r="M118" s="43"/>
      <c r="N118" s="37"/>
      <c r="O118" s="37"/>
      <c r="P118" s="37"/>
      <c r="Q118" s="37"/>
      <c r="R118" s="43"/>
      <c r="S118" s="37"/>
      <c r="T118" s="37"/>
      <c r="U118" s="947"/>
      <c r="V118" s="37"/>
      <c r="W118" s="37"/>
      <c r="X118" s="37"/>
      <c r="Y118" s="37"/>
      <c r="Z118" s="37"/>
      <c r="AA118" s="572"/>
      <c r="AB118" s="963"/>
      <c r="AC118" s="963"/>
      <c r="AD118" s="963"/>
      <c r="AE118" s="963"/>
      <c r="AF118" s="36">
        <v>11</v>
      </c>
    </row>
    <row r="119" s="36" customFormat="1" ht="11.55" customHeight="1" spans="1:32">
      <c r="A119" s="946"/>
      <c r="B119" s="43"/>
      <c r="C119" s="43"/>
      <c r="K119" s="37"/>
      <c r="L119" s="43"/>
      <c r="M119" s="43"/>
      <c r="N119" s="37"/>
      <c r="O119" s="37"/>
      <c r="P119" s="37"/>
      <c r="Q119" s="37"/>
      <c r="R119" s="43"/>
      <c r="S119" s="37"/>
      <c r="T119" s="37"/>
      <c r="U119" s="947"/>
      <c r="V119" s="37"/>
      <c r="W119" s="37"/>
      <c r="X119" s="37"/>
      <c r="Y119" s="37"/>
      <c r="Z119" s="37"/>
      <c r="AA119" s="572"/>
      <c r="AB119" s="963"/>
      <c r="AC119" s="963"/>
      <c r="AD119" s="963"/>
      <c r="AE119" s="963"/>
      <c r="AF119" s="36">
        <v>11</v>
      </c>
    </row>
    <row r="120" s="36" customFormat="1" ht="11.55" customHeight="1" spans="1:32">
      <c r="A120" s="946"/>
      <c r="B120" s="43"/>
      <c r="C120" s="43"/>
      <c r="K120" s="37"/>
      <c r="L120" s="43"/>
      <c r="M120" s="43"/>
      <c r="N120" s="37"/>
      <c r="O120" s="37"/>
      <c r="P120" s="37"/>
      <c r="Q120" s="37"/>
      <c r="R120" s="43"/>
      <c r="S120" s="37"/>
      <c r="T120" s="37"/>
      <c r="U120" s="947"/>
      <c r="V120" s="37"/>
      <c r="W120" s="37"/>
      <c r="X120" s="37"/>
      <c r="Y120" s="37"/>
      <c r="Z120" s="37"/>
      <c r="AA120" s="572"/>
      <c r="AB120" s="963"/>
      <c r="AC120" s="963"/>
      <c r="AD120" s="963"/>
      <c r="AE120" s="963"/>
      <c r="AF120" s="36">
        <v>11</v>
      </c>
    </row>
    <row r="121" s="36" customFormat="1" ht="11.55" customHeight="1" spans="1:32">
      <c r="A121" s="946"/>
      <c r="B121" s="43"/>
      <c r="C121" s="43"/>
      <c r="K121" s="37"/>
      <c r="L121" s="43"/>
      <c r="M121" s="43"/>
      <c r="N121" s="37"/>
      <c r="O121" s="37"/>
      <c r="P121" s="37"/>
      <c r="Q121" s="37"/>
      <c r="R121" s="43"/>
      <c r="S121" s="37"/>
      <c r="T121" s="37"/>
      <c r="U121" s="947"/>
      <c r="V121" s="37"/>
      <c r="W121" s="37"/>
      <c r="X121" s="37"/>
      <c r="Y121" s="37"/>
      <c r="Z121" s="37"/>
      <c r="AA121" s="572"/>
      <c r="AB121" s="963"/>
      <c r="AC121" s="963"/>
      <c r="AD121" s="963"/>
      <c r="AE121" s="963"/>
      <c r="AF121" s="36">
        <v>11</v>
      </c>
    </row>
    <row r="122" s="36" customFormat="1" ht="11.55" customHeight="1" spans="1:32">
      <c r="A122" s="946"/>
      <c r="B122" s="43"/>
      <c r="C122" s="43"/>
      <c r="K122" s="37"/>
      <c r="L122" s="43"/>
      <c r="M122" s="43"/>
      <c r="N122" s="37"/>
      <c r="O122" s="37"/>
      <c r="P122" s="37"/>
      <c r="Q122" s="37"/>
      <c r="R122" s="43"/>
      <c r="S122" s="37"/>
      <c r="T122" s="37"/>
      <c r="U122" s="947"/>
      <c r="V122" s="37"/>
      <c r="W122" s="37"/>
      <c r="X122" s="37"/>
      <c r="Y122" s="37"/>
      <c r="Z122" s="37"/>
      <c r="AA122" s="572"/>
      <c r="AB122" s="963"/>
      <c r="AC122" s="963"/>
      <c r="AD122" s="963"/>
      <c r="AE122" s="963"/>
      <c r="AF122" s="36">
        <v>11</v>
      </c>
    </row>
    <row r="123" s="36" customFormat="1" ht="11.55" customHeight="1" spans="1:32">
      <c r="A123" s="946"/>
      <c r="B123" s="43"/>
      <c r="C123" s="43"/>
      <c r="K123" s="37"/>
      <c r="L123" s="43"/>
      <c r="M123" s="43"/>
      <c r="N123" s="37"/>
      <c r="O123" s="37"/>
      <c r="P123" s="37"/>
      <c r="Q123" s="37"/>
      <c r="R123" s="43"/>
      <c r="S123" s="37"/>
      <c r="T123" s="37"/>
      <c r="U123" s="947"/>
      <c r="V123" s="37"/>
      <c r="W123" s="37"/>
      <c r="X123" s="37"/>
      <c r="Y123" s="37"/>
      <c r="Z123" s="37"/>
      <c r="AA123" s="572"/>
      <c r="AB123" s="963"/>
      <c r="AC123" s="963"/>
      <c r="AD123" s="963"/>
      <c r="AE123" s="963"/>
      <c r="AF123" s="36">
        <v>11</v>
      </c>
    </row>
    <row r="124" s="36" customFormat="1" ht="11.55" customHeight="1" spans="1:32">
      <c r="A124" s="946"/>
      <c r="B124" s="43"/>
      <c r="C124" s="43"/>
      <c r="K124" s="37"/>
      <c r="L124" s="43"/>
      <c r="M124" s="43"/>
      <c r="N124" s="37"/>
      <c r="O124" s="37"/>
      <c r="P124" s="37"/>
      <c r="Q124" s="37"/>
      <c r="R124" s="43"/>
      <c r="S124" s="37"/>
      <c r="T124" s="37"/>
      <c r="U124" s="947"/>
      <c r="V124" s="37"/>
      <c r="W124" s="37"/>
      <c r="X124" s="37"/>
      <c r="Y124" s="37"/>
      <c r="Z124" s="37"/>
      <c r="AA124" s="572"/>
      <c r="AB124" s="963"/>
      <c r="AC124" s="963"/>
      <c r="AD124" s="963"/>
      <c r="AE124" s="963"/>
      <c r="AF124" s="36">
        <v>11</v>
      </c>
    </row>
    <row r="125" s="36" customFormat="1" ht="11.55" customHeight="1" spans="1:32">
      <c r="A125" s="946"/>
      <c r="B125" s="43"/>
      <c r="C125" s="43"/>
      <c r="K125" s="37"/>
      <c r="L125" s="43"/>
      <c r="M125" s="43"/>
      <c r="N125" s="37"/>
      <c r="O125" s="37"/>
      <c r="P125" s="37"/>
      <c r="Q125" s="37"/>
      <c r="R125" s="43"/>
      <c r="S125" s="37"/>
      <c r="T125" s="37"/>
      <c r="U125" s="947"/>
      <c r="V125" s="37"/>
      <c r="W125" s="37"/>
      <c r="X125" s="37"/>
      <c r="Y125" s="37"/>
      <c r="Z125" s="37"/>
      <c r="AA125" s="572"/>
      <c r="AB125" s="963"/>
      <c r="AC125" s="963"/>
      <c r="AD125" s="963"/>
      <c r="AE125" s="963"/>
      <c r="AF125" s="36">
        <v>11</v>
      </c>
    </row>
    <row r="126" s="36" customFormat="1" ht="11.55" customHeight="1" spans="1:32">
      <c r="A126" s="946"/>
      <c r="B126" s="43"/>
      <c r="C126" s="43"/>
      <c r="K126" s="37"/>
      <c r="L126" s="43"/>
      <c r="M126" s="43"/>
      <c r="N126" s="37"/>
      <c r="O126" s="37"/>
      <c r="P126" s="37"/>
      <c r="Q126" s="37"/>
      <c r="R126" s="43"/>
      <c r="S126" s="37"/>
      <c r="T126" s="37"/>
      <c r="U126" s="947"/>
      <c r="V126" s="37"/>
      <c r="W126" s="37"/>
      <c r="X126" s="37"/>
      <c r="Y126" s="37"/>
      <c r="Z126" s="37"/>
      <c r="AA126" s="572"/>
      <c r="AB126" s="963"/>
      <c r="AC126" s="963"/>
      <c r="AD126" s="963"/>
      <c r="AE126" s="963"/>
      <c r="AF126" s="36">
        <v>11</v>
      </c>
    </row>
    <row r="127" s="36" customFormat="1" ht="11.55" customHeight="1" spans="1:32">
      <c r="A127" s="946"/>
      <c r="B127" s="43"/>
      <c r="C127" s="43"/>
      <c r="K127" s="37"/>
      <c r="L127" s="43"/>
      <c r="M127" s="43"/>
      <c r="N127" s="37"/>
      <c r="O127" s="37"/>
      <c r="P127" s="37"/>
      <c r="Q127" s="37"/>
      <c r="R127" s="43"/>
      <c r="S127" s="37"/>
      <c r="T127" s="37"/>
      <c r="U127" s="947"/>
      <c r="V127" s="37"/>
      <c r="W127" s="37"/>
      <c r="X127" s="37"/>
      <c r="Y127" s="37"/>
      <c r="Z127" s="37"/>
      <c r="AA127" s="572"/>
      <c r="AB127" s="963"/>
      <c r="AC127" s="963"/>
      <c r="AD127" s="963"/>
      <c r="AE127" s="963"/>
      <c r="AF127" s="36">
        <v>11</v>
      </c>
    </row>
    <row r="128" s="36" customFormat="1" ht="11.55" customHeight="1" spans="1:32">
      <c r="A128" s="946"/>
      <c r="B128" s="43"/>
      <c r="C128" s="43"/>
      <c r="K128" s="37"/>
      <c r="L128" s="43"/>
      <c r="M128" s="43"/>
      <c r="N128" s="37"/>
      <c r="O128" s="37"/>
      <c r="P128" s="37"/>
      <c r="Q128" s="37"/>
      <c r="R128" s="43"/>
      <c r="S128" s="37"/>
      <c r="T128" s="37"/>
      <c r="U128" s="947"/>
      <c r="V128" s="37"/>
      <c r="W128" s="37"/>
      <c r="X128" s="37"/>
      <c r="Y128" s="37"/>
      <c r="Z128" s="37"/>
      <c r="AA128" s="572"/>
      <c r="AB128" s="963"/>
      <c r="AC128" s="963"/>
      <c r="AD128" s="963"/>
      <c r="AE128" s="963"/>
      <c r="AF128" s="36">
        <v>11</v>
      </c>
    </row>
    <row r="129" s="36" customFormat="1" ht="11.55" customHeight="1" spans="1:32">
      <c r="A129" s="946"/>
      <c r="B129" s="43"/>
      <c r="C129" s="43"/>
      <c r="K129" s="37"/>
      <c r="L129" s="43"/>
      <c r="M129" s="43"/>
      <c r="N129" s="37"/>
      <c r="O129" s="37"/>
      <c r="P129" s="37"/>
      <c r="Q129" s="37"/>
      <c r="R129" s="43"/>
      <c r="S129" s="37"/>
      <c r="T129" s="37"/>
      <c r="U129" s="947"/>
      <c r="V129" s="37"/>
      <c r="W129" s="37"/>
      <c r="X129" s="37"/>
      <c r="Y129" s="37"/>
      <c r="Z129" s="37"/>
      <c r="AA129" s="572"/>
      <c r="AB129" s="963"/>
      <c r="AC129" s="963"/>
      <c r="AD129" s="963"/>
      <c r="AE129" s="963"/>
      <c r="AF129" s="36">
        <v>11</v>
      </c>
    </row>
    <row r="130" s="36" customFormat="1" ht="11.55" customHeight="1" spans="1:32">
      <c r="A130" s="946"/>
      <c r="B130" s="43"/>
      <c r="C130" s="43"/>
      <c r="K130" s="37"/>
      <c r="L130" s="43"/>
      <c r="M130" s="43"/>
      <c r="N130" s="37"/>
      <c r="O130" s="37"/>
      <c r="P130" s="37"/>
      <c r="Q130" s="37"/>
      <c r="R130" s="43"/>
      <c r="S130" s="37"/>
      <c r="T130" s="37"/>
      <c r="U130" s="947"/>
      <c r="V130" s="37"/>
      <c r="W130" s="37"/>
      <c r="X130" s="37"/>
      <c r="Y130" s="37"/>
      <c r="Z130" s="37"/>
      <c r="AA130" s="572"/>
      <c r="AB130" s="963"/>
      <c r="AC130" s="963"/>
      <c r="AD130" s="963"/>
      <c r="AE130" s="963"/>
      <c r="AF130" s="36">
        <v>11</v>
      </c>
    </row>
    <row r="131" s="36" customFormat="1" ht="11.55" customHeight="1" spans="1:32">
      <c r="A131" s="946"/>
      <c r="B131" s="43"/>
      <c r="C131" s="43"/>
      <c r="K131" s="37"/>
      <c r="L131" s="43"/>
      <c r="M131" s="43"/>
      <c r="N131" s="37"/>
      <c r="O131" s="37"/>
      <c r="P131" s="37"/>
      <c r="Q131" s="37"/>
      <c r="R131" s="43"/>
      <c r="S131" s="37"/>
      <c r="T131" s="37"/>
      <c r="U131" s="947"/>
      <c r="V131" s="37"/>
      <c r="W131" s="37"/>
      <c r="X131" s="37"/>
      <c r="Y131" s="37"/>
      <c r="Z131" s="37"/>
      <c r="AA131" s="572"/>
      <c r="AB131" s="963"/>
      <c r="AC131" s="963"/>
      <c r="AD131" s="963"/>
      <c r="AE131" s="963"/>
      <c r="AF131" s="36">
        <v>11</v>
      </c>
    </row>
    <row r="132" s="36" customFormat="1" ht="11.55" customHeight="1" spans="1:32">
      <c r="A132" s="946"/>
      <c r="B132" s="43"/>
      <c r="C132" s="43"/>
      <c r="K132" s="37"/>
      <c r="L132" s="43"/>
      <c r="M132" s="43"/>
      <c r="N132" s="37"/>
      <c r="O132" s="37"/>
      <c r="P132" s="37"/>
      <c r="Q132" s="37"/>
      <c r="R132" s="43"/>
      <c r="S132" s="37"/>
      <c r="T132" s="37"/>
      <c r="U132" s="947"/>
      <c r="V132" s="37"/>
      <c r="W132" s="37"/>
      <c r="X132" s="37"/>
      <c r="Y132" s="37"/>
      <c r="Z132" s="37"/>
      <c r="AA132" s="572"/>
      <c r="AB132" s="963"/>
      <c r="AC132" s="963"/>
      <c r="AD132" s="963"/>
      <c r="AE132" s="963"/>
      <c r="AF132" s="36">
        <v>11</v>
      </c>
    </row>
    <row r="133" s="36" customFormat="1" ht="11.55" customHeight="1" spans="1:32">
      <c r="A133" s="946"/>
      <c r="B133" s="43"/>
      <c r="C133" s="43"/>
      <c r="K133" s="37"/>
      <c r="L133" s="43"/>
      <c r="M133" s="43"/>
      <c r="N133" s="37"/>
      <c r="O133" s="37"/>
      <c r="P133" s="37"/>
      <c r="Q133" s="37"/>
      <c r="R133" s="43"/>
      <c r="S133" s="37"/>
      <c r="T133" s="37"/>
      <c r="U133" s="947"/>
      <c r="V133" s="37"/>
      <c r="W133" s="37"/>
      <c r="X133" s="37"/>
      <c r="Y133" s="37"/>
      <c r="Z133" s="37"/>
      <c r="AA133" s="572"/>
      <c r="AB133" s="963"/>
      <c r="AC133" s="963"/>
      <c r="AD133" s="963"/>
      <c r="AE133" s="963"/>
      <c r="AF133" s="36">
        <v>11</v>
      </c>
    </row>
    <row r="134" s="36" customFormat="1" ht="11.55" customHeight="1" spans="1:32">
      <c r="A134" s="946"/>
      <c r="B134" s="43"/>
      <c r="C134" s="43"/>
      <c r="K134" s="37"/>
      <c r="L134" s="43"/>
      <c r="M134" s="43"/>
      <c r="N134" s="37"/>
      <c r="O134" s="37"/>
      <c r="P134" s="37"/>
      <c r="Q134" s="37"/>
      <c r="R134" s="43"/>
      <c r="S134" s="37"/>
      <c r="T134" s="37"/>
      <c r="U134" s="947"/>
      <c r="V134" s="37"/>
      <c r="W134" s="37"/>
      <c r="X134" s="37"/>
      <c r="Y134" s="37"/>
      <c r="Z134" s="37"/>
      <c r="AA134" s="572"/>
      <c r="AB134" s="963"/>
      <c r="AC134" s="963"/>
      <c r="AD134" s="963"/>
      <c r="AE134" s="963"/>
      <c r="AF134" s="36">
        <v>11</v>
      </c>
    </row>
    <row r="135" s="36" customFormat="1" ht="11.55" customHeight="1" spans="1:32">
      <c r="A135" s="946"/>
      <c r="B135" s="43"/>
      <c r="C135" s="43"/>
      <c r="K135" s="37"/>
      <c r="L135" s="43"/>
      <c r="M135" s="43"/>
      <c r="N135" s="37"/>
      <c r="O135" s="37"/>
      <c r="P135" s="37"/>
      <c r="Q135" s="37"/>
      <c r="R135" s="43"/>
      <c r="S135" s="37"/>
      <c r="T135" s="37"/>
      <c r="U135" s="947"/>
      <c r="V135" s="37"/>
      <c r="W135" s="37"/>
      <c r="X135" s="37"/>
      <c r="Y135" s="37"/>
      <c r="Z135" s="37"/>
      <c r="AA135" s="572"/>
      <c r="AB135" s="963"/>
      <c r="AC135" s="963"/>
      <c r="AD135" s="963"/>
      <c r="AE135" s="963"/>
      <c r="AF135" s="36">
        <v>11</v>
      </c>
    </row>
    <row r="136" s="36" customFormat="1" ht="11.55" customHeight="1" spans="1:32">
      <c r="A136" s="946"/>
      <c r="B136" s="43"/>
      <c r="C136" s="43"/>
      <c r="K136" s="37"/>
      <c r="L136" s="43"/>
      <c r="M136" s="43"/>
      <c r="N136" s="37"/>
      <c r="O136" s="37"/>
      <c r="P136" s="37"/>
      <c r="Q136" s="37"/>
      <c r="R136" s="43"/>
      <c r="S136" s="37"/>
      <c r="T136" s="37"/>
      <c r="U136" s="947"/>
      <c r="V136" s="37"/>
      <c r="W136" s="37"/>
      <c r="X136" s="37"/>
      <c r="Y136" s="37"/>
      <c r="Z136" s="37"/>
      <c r="AA136" s="572"/>
      <c r="AB136" s="963"/>
      <c r="AC136" s="963"/>
      <c r="AD136" s="963"/>
      <c r="AE136" s="963"/>
      <c r="AF136" s="36">
        <v>11</v>
      </c>
    </row>
    <row r="137" s="36" customFormat="1" ht="11.55" customHeight="1" spans="1:32">
      <c r="A137" s="946"/>
      <c r="B137" s="43"/>
      <c r="C137" s="43"/>
      <c r="K137" s="37"/>
      <c r="L137" s="43"/>
      <c r="M137" s="43"/>
      <c r="N137" s="37"/>
      <c r="O137" s="37"/>
      <c r="P137" s="37"/>
      <c r="Q137" s="37"/>
      <c r="R137" s="43"/>
      <c r="S137" s="37"/>
      <c r="T137" s="37"/>
      <c r="U137" s="947"/>
      <c r="V137" s="37"/>
      <c r="W137" s="37"/>
      <c r="X137" s="37"/>
      <c r="Y137" s="37"/>
      <c r="Z137" s="37"/>
      <c r="AA137" s="572"/>
      <c r="AB137" s="963"/>
      <c r="AC137" s="963"/>
      <c r="AD137" s="963"/>
      <c r="AE137" s="963"/>
      <c r="AF137" s="36">
        <v>11</v>
      </c>
    </row>
    <row r="138" s="36" customFormat="1" ht="11.55" customHeight="1" spans="1:32">
      <c r="A138" s="946"/>
      <c r="B138" s="43"/>
      <c r="C138" s="43"/>
      <c r="K138" s="37"/>
      <c r="L138" s="43"/>
      <c r="M138" s="43"/>
      <c r="N138" s="37"/>
      <c r="O138" s="37"/>
      <c r="P138" s="37"/>
      <c r="Q138" s="37"/>
      <c r="R138" s="43"/>
      <c r="S138" s="37"/>
      <c r="T138" s="37"/>
      <c r="U138" s="947"/>
      <c r="V138" s="37"/>
      <c r="W138" s="37"/>
      <c r="X138" s="37"/>
      <c r="Y138" s="37"/>
      <c r="Z138" s="37"/>
      <c r="AA138" s="572"/>
      <c r="AB138" s="963"/>
      <c r="AC138" s="963"/>
      <c r="AD138" s="963"/>
      <c r="AE138" s="963"/>
      <c r="AF138" s="36">
        <v>11</v>
      </c>
    </row>
    <row r="139" s="36" customFormat="1" ht="11.55" customHeight="1" spans="1:32">
      <c r="A139" s="946"/>
      <c r="B139" s="43"/>
      <c r="C139" s="43"/>
      <c r="K139" s="37"/>
      <c r="L139" s="43"/>
      <c r="M139" s="43"/>
      <c r="N139" s="37"/>
      <c r="O139" s="37"/>
      <c r="P139" s="37"/>
      <c r="Q139" s="37"/>
      <c r="R139" s="43"/>
      <c r="S139" s="37"/>
      <c r="T139" s="37"/>
      <c r="U139" s="947"/>
      <c r="V139" s="37"/>
      <c r="W139" s="37"/>
      <c r="X139" s="37"/>
      <c r="Y139" s="37"/>
      <c r="Z139" s="37"/>
      <c r="AA139" s="572"/>
      <c r="AB139" s="963"/>
      <c r="AC139" s="963"/>
      <c r="AD139" s="963"/>
      <c r="AE139" s="963"/>
      <c r="AF139" s="36">
        <v>11</v>
      </c>
    </row>
    <row r="140" s="36" customFormat="1" ht="11.55" customHeight="1" spans="1:32">
      <c r="A140" s="946"/>
      <c r="B140" s="43"/>
      <c r="C140" s="43"/>
      <c r="K140" s="37"/>
      <c r="L140" s="43"/>
      <c r="M140" s="43"/>
      <c r="N140" s="37"/>
      <c r="O140" s="37"/>
      <c r="P140" s="37"/>
      <c r="Q140" s="37"/>
      <c r="R140" s="43"/>
      <c r="S140" s="37"/>
      <c r="T140" s="37"/>
      <c r="U140" s="947"/>
      <c r="V140" s="37"/>
      <c r="W140" s="37"/>
      <c r="X140" s="37"/>
      <c r="Y140" s="37"/>
      <c r="Z140" s="37"/>
      <c r="AA140" s="572"/>
      <c r="AB140" s="963"/>
      <c r="AC140" s="963"/>
      <c r="AD140" s="963"/>
      <c r="AE140" s="963"/>
      <c r="AF140" s="36">
        <v>11</v>
      </c>
    </row>
    <row r="141" s="36" customFormat="1" ht="11.55" customHeight="1" spans="1:32">
      <c r="A141" s="946"/>
      <c r="B141" s="43"/>
      <c r="C141" s="43"/>
      <c r="K141" s="37"/>
      <c r="L141" s="43"/>
      <c r="M141" s="43"/>
      <c r="N141" s="37"/>
      <c r="O141" s="37"/>
      <c r="P141" s="37"/>
      <c r="Q141" s="37"/>
      <c r="R141" s="43"/>
      <c r="S141" s="37"/>
      <c r="T141" s="37"/>
      <c r="U141" s="947"/>
      <c r="V141" s="37"/>
      <c r="W141" s="37"/>
      <c r="X141" s="37"/>
      <c r="Y141" s="37"/>
      <c r="Z141" s="37"/>
      <c r="AA141" s="572"/>
      <c r="AB141" s="963"/>
      <c r="AC141" s="963"/>
      <c r="AD141" s="963"/>
      <c r="AE141" s="963"/>
      <c r="AF141" s="36">
        <v>11</v>
      </c>
    </row>
    <row r="142" s="36" customFormat="1" ht="11.55" customHeight="1" spans="1:32">
      <c r="A142" s="946"/>
      <c r="B142" s="43"/>
      <c r="C142" s="43"/>
      <c r="K142" s="37"/>
      <c r="L142" s="43"/>
      <c r="M142" s="43"/>
      <c r="N142" s="37"/>
      <c r="O142" s="37"/>
      <c r="P142" s="37"/>
      <c r="Q142" s="37"/>
      <c r="R142" s="43"/>
      <c r="S142" s="37"/>
      <c r="T142" s="37"/>
      <c r="U142" s="947"/>
      <c r="V142" s="37"/>
      <c r="W142" s="37"/>
      <c r="X142" s="37"/>
      <c r="Y142" s="37"/>
      <c r="Z142" s="37"/>
      <c r="AA142" s="572"/>
      <c r="AB142" s="963"/>
      <c r="AC142" s="963"/>
      <c r="AD142" s="963"/>
      <c r="AE142" s="963"/>
      <c r="AF142" s="36">
        <v>11</v>
      </c>
    </row>
    <row r="143" s="36" customFormat="1" ht="11.55" customHeight="1" spans="1:32">
      <c r="A143" s="946"/>
      <c r="B143" s="43"/>
      <c r="C143" s="43"/>
      <c r="K143" s="37"/>
      <c r="L143" s="43"/>
      <c r="M143" s="43"/>
      <c r="N143" s="37"/>
      <c r="O143" s="37"/>
      <c r="P143" s="37"/>
      <c r="Q143" s="37"/>
      <c r="R143" s="43"/>
      <c r="S143" s="37"/>
      <c r="T143" s="37"/>
      <c r="U143" s="947"/>
      <c r="V143" s="37"/>
      <c r="W143" s="37"/>
      <c r="X143" s="37"/>
      <c r="Y143" s="37"/>
      <c r="Z143" s="37"/>
      <c r="AA143" s="572"/>
      <c r="AB143" s="963"/>
      <c r="AC143" s="963"/>
      <c r="AD143" s="963"/>
      <c r="AE143" s="963"/>
      <c r="AF143" s="36">
        <v>11</v>
      </c>
    </row>
    <row r="144" s="36" customFormat="1" ht="11.55" customHeight="1" spans="1:32">
      <c r="A144" s="946"/>
      <c r="B144" s="43"/>
      <c r="C144" s="43"/>
      <c r="K144" s="37"/>
      <c r="L144" s="43"/>
      <c r="M144" s="43"/>
      <c r="N144" s="37"/>
      <c r="O144" s="37"/>
      <c r="P144" s="37"/>
      <c r="Q144" s="37"/>
      <c r="R144" s="43"/>
      <c r="S144" s="37"/>
      <c r="T144" s="37"/>
      <c r="U144" s="947"/>
      <c r="V144" s="37"/>
      <c r="W144" s="37"/>
      <c r="X144" s="37"/>
      <c r="Y144" s="37"/>
      <c r="Z144" s="37"/>
      <c r="AA144" s="572"/>
      <c r="AB144" s="963"/>
      <c r="AC144" s="963"/>
      <c r="AD144" s="963"/>
      <c r="AE144" s="963"/>
      <c r="AF144" s="36">
        <v>11</v>
      </c>
    </row>
    <row r="145" s="36" customFormat="1" ht="11.55" customHeight="1" spans="1:32">
      <c r="A145" s="946"/>
      <c r="B145" s="43"/>
      <c r="C145" s="43"/>
      <c r="K145" s="37"/>
      <c r="L145" s="43"/>
      <c r="M145" s="43"/>
      <c r="N145" s="37"/>
      <c r="O145" s="37"/>
      <c r="P145" s="37"/>
      <c r="Q145" s="37"/>
      <c r="R145" s="43"/>
      <c r="S145" s="37"/>
      <c r="T145" s="37"/>
      <c r="U145" s="947"/>
      <c r="V145" s="37"/>
      <c r="W145" s="37"/>
      <c r="X145" s="37"/>
      <c r="Y145" s="37"/>
      <c r="Z145" s="37"/>
      <c r="AA145" s="572"/>
      <c r="AB145" s="963"/>
      <c r="AC145" s="963"/>
      <c r="AD145" s="963"/>
      <c r="AE145" s="963"/>
      <c r="AF145" s="36">
        <v>11</v>
      </c>
    </row>
    <row r="146" s="36" customFormat="1" ht="11.55" customHeight="1" spans="1:32">
      <c r="A146" s="946"/>
      <c r="B146" s="43"/>
      <c r="C146" s="43"/>
      <c r="K146" s="37"/>
      <c r="L146" s="43"/>
      <c r="M146" s="43"/>
      <c r="N146" s="37"/>
      <c r="O146" s="37"/>
      <c r="P146" s="37"/>
      <c r="Q146" s="37"/>
      <c r="R146" s="43"/>
      <c r="S146" s="37"/>
      <c r="T146" s="37"/>
      <c r="U146" s="947"/>
      <c r="V146" s="37"/>
      <c r="W146" s="37"/>
      <c r="X146" s="37"/>
      <c r="Y146" s="37"/>
      <c r="Z146" s="37"/>
      <c r="AA146" s="572"/>
      <c r="AB146" s="963"/>
      <c r="AC146" s="963"/>
      <c r="AD146" s="963"/>
      <c r="AE146" s="963"/>
      <c r="AF146" s="36">
        <v>11</v>
      </c>
    </row>
    <row r="147" s="36" customFormat="1" ht="11.55" customHeight="1" spans="1:32">
      <c r="A147" s="946"/>
      <c r="B147" s="43"/>
      <c r="C147" s="43"/>
      <c r="K147" s="37"/>
      <c r="L147" s="43"/>
      <c r="M147" s="43"/>
      <c r="N147" s="37"/>
      <c r="O147" s="37"/>
      <c r="P147" s="37"/>
      <c r="Q147" s="37"/>
      <c r="R147" s="43"/>
      <c r="S147" s="37"/>
      <c r="T147" s="37"/>
      <c r="U147" s="947"/>
      <c r="V147" s="37"/>
      <c r="W147" s="37"/>
      <c r="X147" s="37"/>
      <c r="Y147" s="37"/>
      <c r="Z147" s="37"/>
      <c r="AA147" s="572"/>
      <c r="AB147" s="963"/>
      <c r="AC147" s="963"/>
      <c r="AD147" s="963"/>
      <c r="AE147" s="963"/>
      <c r="AF147" s="36">
        <v>11</v>
      </c>
    </row>
    <row r="148" s="36" customFormat="1" ht="11.55" customHeight="1" spans="1:32">
      <c r="A148" s="946"/>
      <c r="B148" s="43"/>
      <c r="C148" s="43"/>
      <c r="K148" s="37"/>
      <c r="L148" s="43"/>
      <c r="M148" s="43"/>
      <c r="N148" s="37"/>
      <c r="O148" s="37"/>
      <c r="P148" s="37"/>
      <c r="Q148" s="37"/>
      <c r="R148" s="43"/>
      <c r="S148" s="37"/>
      <c r="T148" s="37"/>
      <c r="U148" s="947"/>
      <c r="V148" s="37"/>
      <c r="W148" s="37"/>
      <c r="X148" s="37"/>
      <c r="Y148" s="37"/>
      <c r="Z148" s="37"/>
      <c r="AA148" s="572"/>
      <c r="AB148" s="963"/>
      <c r="AC148" s="963"/>
      <c r="AD148" s="963"/>
      <c r="AE148" s="963"/>
      <c r="AF148" s="36">
        <v>11</v>
      </c>
    </row>
    <row r="149" s="36" customFormat="1" ht="11.55" customHeight="1" spans="1:32">
      <c r="A149" s="946"/>
      <c r="B149" s="43"/>
      <c r="C149" s="43"/>
      <c r="K149" s="37"/>
      <c r="L149" s="43"/>
      <c r="M149" s="43"/>
      <c r="N149" s="37"/>
      <c r="O149" s="37"/>
      <c r="P149" s="37"/>
      <c r="Q149" s="37"/>
      <c r="R149" s="43"/>
      <c r="S149" s="37"/>
      <c r="T149" s="37"/>
      <c r="U149" s="947"/>
      <c r="V149" s="37"/>
      <c r="W149" s="37"/>
      <c r="X149" s="37"/>
      <c r="Y149" s="37"/>
      <c r="Z149" s="37"/>
      <c r="AA149" s="572"/>
      <c r="AB149" s="963"/>
      <c r="AC149" s="963"/>
      <c r="AD149" s="963"/>
      <c r="AE149" s="963"/>
      <c r="AF149" s="36">
        <v>11</v>
      </c>
    </row>
    <row r="150" s="36" customFormat="1" ht="11.55" customHeight="1" spans="1:32">
      <c r="A150" s="946"/>
      <c r="B150" s="43"/>
      <c r="C150" s="43"/>
      <c r="K150" s="37"/>
      <c r="L150" s="43"/>
      <c r="M150" s="43"/>
      <c r="N150" s="37"/>
      <c r="O150" s="37"/>
      <c r="P150" s="37"/>
      <c r="Q150" s="37"/>
      <c r="R150" s="43"/>
      <c r="S150" s="37"/>
      <c r="T150" s="37"/>
      <c r="U150" s="947"/>
      <c r="V150" s="37"/>
      <c r="W150" s="37"/>
      <c r="X150" s="37"/>
      <c r="Y150" s="37"/>
      <c r="Z150" s="37"/>
      <c r="AA150" s="572"/>
      <c r="AB150" s="963"/>
      <c r="AC150" s="963"/>
      <c r="AD150" s="963"/>
      <c r="AE150" s="963"/>
      <c r="AF150" s="36">
        <v>11</v>
      </c>
    </row>
    <row r="151" s="36" customFormat="1" ht="11.55" customHeight="1" spans="1:32">
      <c r="A151" s="946"/>
      <c r="B151" s="43"/>
      <c r="C151" s="43"/>
      <c r="K151" s="37"/>
      <c r="L151" s="43"/>
      <c r="M151" s="43"/>
      <c r="N151" s="37"/>
      <c r="O151" s="37"/>
      <c r="P151" s="37"/>
      <c r="Q151" s="37"/>
      <c r="R151" s="43"/>
      <c r="S151" s="37"/>
      <c r="T151" s="37"/>
      <c r="U151" s="947"/>
      <c r="V151" s="37"/>
      <c r="W151" s="37"/>
      <c r="X151" s="37"/>
      <c r="Y151" s="37"/>
      <c r="Z151" s="37"/>
      <c r="AA151" s="572"/>
      <c r="AB151" s="963"/>
      <c r="AC151" s="963"/>
      <c r="AD151" s="963"/>
      <c r="AE151" s="963"/>
      <c r="AF151" s="36">
        <v>11</v>
      </c>
    </row>
    <row r="152" s="36" customFormat="1" ht="11.55" customHeight="1" spans="1:32">
      <c r="A152" s="946"/>
      <c r="B152" s="43"/>
      <c r="C152" s="43"/>
      <c r="K152" s="37"/>
      <c r="L152" s="43"/>
      <c r="M152" s="43"/>
      <c r="N152" s="37"/>
      <c r="O152" s="37"/>
      <c r="P152" s="37"/>
      <c r="Q152" s="37"/>
      <c r="R152" s="43"/>
      <c r="S152" s="37"/>
      <c r="T152" s="37"/>
      <c r="U152" s="947"/>
      <c r="V152" s="37"/>
      <c r="W152" s="37"/>
      <c r="X152" s="37"/>
      <c r="Y152" s="37"/>
      <c r="Z152" s="37"/>
      <c r="AA152" s="572"/>
      <c r="AB152" s="963"/>
      <c r="AC152" s="963"/>
      <c r="AD152" s="963"/>
      <c r="AE152" s="963"/>
      <c r="AF152" s="36">
        <v>11</v>
      </c>
    </row>
    <row r="153" s="36" customFormat="1" ht="11.55" customHeight="1" spans="1:32">
      <c r="A153" s="946"/>
      <c r="B153" s="43"/>
      <c r="C153" s="43"/>
      <c r="K153" s="37"/>
      <c r="L153" s="43"/>
      <c r="M153" s="43"/>
      <c r="N153" s="37"/>
      <c r="O153" s="37"/>
      <c r="P153" s="37"/>
      <c r="Q153" s="37"/>
      <c r="R153" s="43"/>
      <c r="S153" s="37"/>
      <c r="T153" s="37"/>
      <c r="U153" s="947"/>
      <c r="V153" s="37"/>
      <c r="W153" s="37"/>
      <c r="X153" s="37"/>
      <c r="Y153" s="37"/>
      <c r="Z153" s="37"/>
      <c r="AA153" s="572"/>
      <c r="AB153" s="963"/>
      <c r="AC153" s="963"/>
      <c r="AD153" s="963"/>
      <c r="AE153" s="963"/>
      <c r="AF153" s="36">
        <v>11</v>
      </c>
    </row>
    <row r="154" s="36" customFormat="1" ht="11.55" customHeight="1" spans="1:32">
      <c r="A154" s="946"/>
      <c r="B154" s="43"/>
      <c r="C154" s="43"/>
      <c r="K154" s="37"/>
      <c r="L154" s="43"/>
      <c r="M154" s="43"/>
      <c r="N154" s="37"/>
      <c r="O154" s="37"/>
      <c r="P154" s="37"/>
      <c r="Q154" s="37"/>
      <c r="R154" s="43"/>
      <c r="S154" s="37"/>
      <c r="T154" s="37"/>
      <c r="U154" s="947"/>
      <c r="V154" s="37"/>
      <c r="W154" s="37"/>
      <c r="X154" s="37"/>
      <c r="Y154" s="37"/>
      <c r="Z154" s="37"/>
      <c r="AA154" s="572"/>
      <c r="AB154" s="963"/>
      <c r="AC154" s="963"/>
      <c r="AD154" s="963"/>
      <c r="AE154" s="963"/>
      <c r="AF154" s="36">
        <v>11</v>
      </c>
    </row>
    <row r="155" s="36" customFormat="1" ht="11.55" customHeight="1" spans="1:32">
      <c r="A155" s="946"/>
      <c r="B155" s="43"/>
      <c r="C155" s="43"/>
      <c r="K155" s="37"/>
      <c r="L155" s="43"/>
      <c r="M155" s="43"/>
      <c r="N155" s="37"/>
      <c r="O155" s="37"/>
      <c r="P155" s="37"/>
      <c r="Q155" s="37"/>
      <c r="R155" s="43"/>
      <c r="S155" s="37"/>
      <c r="T155" s="37"/>
      <c r="U155" s="947"/>
      <c r="V155" s="37"/>
      <c r="W155" s="37"/>
      <c r="X155" s="37"/>
      <c r="Y155" s="37"/>
      <c r="Z155" s="37"/>
      <c r="AA155" s="572"/>
      <c r="AB155" s="963"/>
      <c r="AC155" s="963"/>
      <c r="AD155" s="963"/>
      <c r="AE155" s="963"/>
      <c r="AF155" s="36">
        <v>11</v>
      </c>
    </row>
    <row r="156" s="36" customFormat="1" ht="11.55" customHeight="1" spans="1:32">
      <c r="A156" s="946"/>
      <c r="B156" s="43"/>
      <c r="C156" s="43"/>
      <c r="K156" s="37"/>
      <c r="L156" s="43"/>
      <c r="M156" s="43"/>
      <c r="N156" s="37"/>
      <c r="O156" s="37"/>
      <c r="P156" s="37"/>
      <c r="Q156" s="37"/>
      <c r="R156" s="43"/>
      <c r="S156" s="37"/>
      <c r="T156" s="37"/>
      <c r="U156" s="947"/>
      <c r="V156" s="37"/>
      <c r="W156" s="37"/>
      <c r="X156" s="37"/>
      <c r="Y156" s="37"/>
      <c r="Z156" s="37"/>
      <c r="AA156" s="572"/>
      <c r="AB156" s="963"/>
      <c r="AC156" s="963"/>
      <c r="AD156" s="963"/>
      <c r="AE156" s="963"/>
      <c r="AF156" s="36">
        <v>11</v>
      </c>
    </row>
    <row r="157" s="36" customFormat="1" ht="11.55" customHeight="1" spans="1:32">
      <c r="A157" s="946"/>
      <c r="B157" s="43"/>
      <c r="C157" s="43"/>
      <c r="K157" s="37"/>
      <c r="L157" s="43"/>
      <c r="M157" s="43"/>
      <c r="N157" s="37"/>
      <c r="O157" s="37"/>
      <c r="P157" s="37"/>
      <c r="Q157" s="37"/>
      <c r="R157" s="43"/>
      <c r="S157" s="37"/>
      <c r="T157" s="37"/>
      <c r="U157" s="947"/>
      <c r="V157" s="37"/>
      <c r="W157" s="37"/>
      <c r="X157" s="37"/>
      <c r="Y157" s="37"/>
      <c r="Z157" s="37"/>
      <c r="AA157" s="572"/>
      <c r="AB157" s="963"/>
      <c r="AC157" s="963"/>
      <c r="AD157" s="963"/>
      <c r="AE157" s="963"/>
      <c r="AF157" s="36">
        <v>11</v>
      </c>
    </row>
    <row r="158" s="36" customFormat="1" ht="11.55" customHeight="1" spans="1:32">
      <c r="A158" s="946"/>
      <c r="B158" s="43"/>
      <c r="C158" s="43"/>
      <c r="K158" s="37"/>
      <c r="L158" s="43"/>
      <c r="M158" s="43"/>
      <c r="N158" s="37"/>
      <c r="O158" s="37"/>
      <c r="P158" s="37"/>
      <c r="Q158" s="37"/>
      <c r="R158" s="43"/>
      <c r="S158" s="37"/>
      <c r="T158" s="37"/>
      <c r="U158" s="947"/>
      <c r="V158" s="37"/>
      <c r="W158" s="37"/>
      <c r="X158" s="37"/>
      <c r="Y158" s="37"/>
      <c r="Z158" s="37"/>
      <c r="AA158" s="572"/>
      <c r="AB158" s="963"/>
      <c r="AC158" s="963"/>
      <c r="AD158" s="963"/>
      <c r="AE158" s="963"/>
      <c r="AF158" s="36">
        <v>11</v>
      </c>
    </row>
    <row r="159" s="36" customFormat="1" ht="11.55" customHeight="1" spans="1:32">
      <c r="A159" s="946"/>
      <c r="B159" s="43"/>
      <c r="C159" s="43"/>
      <c r="K159" s="37"/>
      <c r="L159" s="43"/>
      <c r="M159" s="43"/>
      <c r="N159" s="37"/>
      <c r="O159" s="37"/>
      <c r="P159" s="37"/>
      <c r="Q159" s="37"/>
      <c r="R159" s="43"/>
      <c r="S159" s="37"/>
      <c r="T159" s="37"/>
      <c r="U159" s="947"/>
      <c r="V159" s="37"/>
      <c r="W159" s="37"/>
      <c r="X159" s="37"/>
      <c r="Y159" s="37"/>
      <c r="Z159" s="37"/>
      <c r="AA159" s="572"/>
      <c r="AB159" s="963"/>
      <c r="AC159" s="963"/>
      <c r="AD159" s="963"/>
      <c r="AE159" s="963"/>
      <c r="AF159" s="36">
        <v>11</v>
      </c>
    </row>
    <row r="160" s="36" customFormat="1" ht="11.55" customHeight="1" spans="1:32">
      <c r="A160" s="946"/>
      <c r="B160" s="43"/>
      <c r="C160" s="43"/>
      <c r="K160" s="37"/>
      <c r="L160" s="43"/>
      <c r="M160" s="43"/>
      <c r="N160" s="37"/>
      <c r="O160" s="37"/>
      <c r="P160" s="37"/>
      <c r="Q160" s="37"/>
      <c r="R160" s="43"/>
      <c r="S160" s="37"/>
      <c r="T160" s="37"/>
      <c r="U160" s="947"/>
      <c r="V160" s="37"/>
      <c r="W160" s="37"/>
      <c r="X160" s="37"/>
      <c r="Y160" s="37"/>
      <c r="Z160" s="37"/>
      <c r="AA160" s="572"/>
      <c r="AB160" s="963"/>
      <c r="AC160" s="963"/>
      <c r="AD160" s="963"/>
      <c r="AE160" s="963"/>
      <c r="AF160" s="36">
        <v>11</v>
      </c>
    </row>
    <row r="161" s="36" customFormat="1" ht="11.55" customHeight="1" spans="1:32">
      <c r="A161" s="946"/>
      <c r="B161" s="43"/>
      <c r="C161" s="43"/>
      <c r="K161" s="37"/>
      <c r="L161" s="43"/>
      <c r="M161" s="43"/>
      <c r="N161" s="37"/>
      <c r="O161" s="37"/>
      <c r="P161" s="37"/>
      <c r="Q161" s="37"/>
      <c r="R161" s="43"/>
      <c r="S161" s="37"/>
      <c r="T161" s="37"/>
      <c r="U161" s="947"/>
      <c r="V161" s="37"/>
      <c r="W161" s="37"/>
      <c r="X161" s="37"/>
      <c r="Y161" s="37"/>
      <c r="Z161" s="37"/>
      <c r="AA161" s="572"/>
      <c r="AB161" s="963"/>
      <c r="AC161" s="963"/>
      <c r="AD161" s="963"/>
      <c r="AE161" s="963"/>
      <c r="AF161" s="36">
        <v>11</v>
      </c>
    </row>
    <row r="162" s="36" customFormat="1" ht="11.55" customHeight="1" spans="1:32">
      <c r="A162" s="946"/>
      <c r="B162" s="43"/>
      <c r="C162" s="43"/>
      <c r="K162" s="37"/>
      <c r="L162" s="43"/>
      <c r="M162" s="43"/>
      <c r="N162" s="37"/>
      <c r="O162" s="37"/>
      <c r="P162" s="37"/>
      <c r="Q162" s="37"/>
      <c r="R162" s="43"/>
      <c r="S162" s="37"/>
      <c r="T162" s="37"/>
      <c r="U162" s="947"/>
      <c r="V162" s="37"/>
      <c r="W162" s="37"/>
      <c r="X162" s="37"/>
      <c r="Y162" s="37"/>
      <c r="Z162" s="37"/>
      <c r="AA162" s="572"/>
      <c r="AB162" s="963"/>
      <c r="AC162" s="963"/>
      <c r="AD162" s="963"/>
      <c r="AE162" s="963"/>
      <c r="AF162" s="36">
        <v>11</v>
      </c>
    </row>
    <row r="163" s="36" customFormat="1" ht="11.55" customHeight="1" spans="1:32">
      <c r="A163" s="946"/>
      <c r="B163" s="43"/>
      <c r="C163" s="43"/>
      <c r="K163" s="37"/>
      <c r="L163" s="43"/>
      <c r="M163" s="43"/>
      <c r="N163" s="37"/>
      <c r="O163" s="37"/>
      <c r="P163" s="37"/>
      <c r="Q163" s="37"/>
      <c r="R163" s="43"/>
      <c r="S163" s="37"/>
      <c r="T163" s="37"/>
      <c r="U163" s="947"/>
      <c r="V163" s="37"/>
      <c r="W163" s="37"/>
      <c r="X163" s="37"/>
      <c r="Y163" s="37"/>
      <c r="Z163" s="37"/>
      <c r="AA163" s="572"/>
      <c r="AB163" s="963"/>
      <c r="AC163" s="963"/>
      <c r="AD163" s="963"/>
      <c r="AE163" s="963"/>
      <c r="AF163" s="36">
        <v>11</v>
      </c>
    </row>
    <row r="164" s="36" customFormat="1" ht="11.55" customHeight="1" spans="1:32">
      <c r="A164" s="946"/>
      <c r="B164" s="43"/>
      <c r="C164" s="43"/>
      <c r="K164" s="37"/>
      <c r="L164" s="43"/>
      <c r="M164" s="43"/>
      <c r="N164" s="37"/>
      <c r="O164" s="37"/>
      <c r="P164" s="37"/>
      <c r="Q164" s="37"/>
      <c r="R164" s="43"/>
      <c r="S164" s="37"/>
      <c r="T164" s="37"/>
      <c r="U164" s="947"/>
      <c r="V164" s="37"/>
      <c r="W164" s="37"/>
      <c r="X164" s="37"/>
      <c r="Y164" s="37"/>
      <c r="Z164" s="37"/>
      <c r="AA164" s="572"/>
      <c r="AB164" s="963"/>
      <c r="AC164" s="963"/>
      <c r="AD164" s="963"/>
      <c r="AE164" s="963"/>
      <c r="AF164" s="36">
        <v>11</v>
      </c>
    </row>
    <row r="165" s="36" customFormat="1" ht="11.55" customHeight="1" spans="1:32">
      <c r="A165" s="946"/>
      <c r="B165" s="43"/>
      <c r="C165" s="43"/>
      <c r="K165" s="37"/>
      <c r="L165" s="43"/>
      <c r="M165" s="43"/>
      <c r="N165" s="37"/>
      <c r="O165" s="37"/>
      <c r="P165" s="37"/>
      <c r="Q165" s="37"/>
      <c r="R165" s="43"/>
      <c r="S165" s="37"/>
      <c r="T165" s="37"/>
      <c r="U165" s="947"/>
      <c r="V165" s="37"/>
      <c r="W165" s="37"/>
      <c r="X165" s="37"/>
      <c r="Y165" s="37"/>
      <c r="Z165" s="37"/>
      <c r="AA165" s="572"/>
      <c r="AB165" s="963"/>
      <c r="AC165" s="963"/>
      <c r="AD165" s="963"/>
      <c r="AE165" s="963"/>
      <c r="AF165" s="36">
        <v>11</v>
      </c>
    </row>
    <row r="166" s="36" customFormat="1" ht="11.55" customHeight="1" spans="1:32">
      <c r="A166" s="946"/>
      <c r="B166" s="43"/>
      <c r="C166" s="43"/>
      <c r="K166" s="37"/>
      <c r="L166" s="43"/>
      <c r="M166" s="43"/>
      <c r="N166" s="37"/>
      <c r="O166" s="37"/>
      <c r="P166" s="37"/>
      <c r="Q166" s="37"/>
      <c r="R166" s="43"/>
      <c r="S166" s="37"/>
      <c r="T166" s="37"/>
      <c r="U166" s="947"/>
      <c r="V166" s="37"/>
      <c r="W166" s="37"/>
      <c r="X166" s="37"/>
      <c r="Y166" s="37"/>
      <c r="Z166" s="37"/>
      <c r="AA166" s="572"/>
      <c r="AB166" s="963"/>
      <c r="AC166" s="963"/>
      <c r="AD166" s="963"/>
      <c r="AE166" s="963"/>
      <c r="AF166" s="36">
        <v>11</v>
      </c>
    </row>
    <row r="167" s="36" customFormat="1" ht="11.55" customHeight="1" spans="1:32">
      <c r="A167" s="946"/>
      <c r="B167" s="43"/>
      <c r="C167" s="43"/>
      <c r="K167" s="37"/>
      <c r="L167" s="43"/>
      <c r="M167" s="43"/>
      <c r="N167" s="37"/>
      <c r="O167" s="37"/>
      <c r="P167" s="37"/>
      <c r="Q167" s="37"/>
      <c r="R167" s="43"/>
      <c r="S167" s="37"/>
      <c r="T167" s="37"/>
      <c r="U167" s="947"/>
      <c r="V167" s="37"/>
      <c r="W167" s="37"/>
      <c r="X167" s="37"/>
      <c r="Y167" s="37"/>
      <c r="Z167" s="37"/>
      <c r="AA167" s="572"/>
      <c r="AB167" s="963"/>
      <c r="AC167" s="963"/>
      <c r="AD167" s="963"/>
      <c r="AE167" s="963"/>
      <c r="AF167" s="36">
        <v>11</v>
      </c>
    </row>
    <row r="168" s="36" customFormat="1" ht="11.55" customHeight="1" spans="1:32">
      <c r="A168" s="946"/>
      <c r="B168" s="43"/>
      <c r="C168" s="43"/>
      <c r="K168" s="37"/>
      <c r="L168" s="43"/>
      <c r="M168" s="43"/>
      <c r="N168" s="37"/>
      <c r="O168" s="37"/>
      <c r="P168" s="37"/>
      <c r="Q168" s="37"/>
      <c r="R168" s="43"/>
      <c r="S168" s="37"/>
      <c r="T168" s="37"/>
      <c r="U168" s="947"/>
      <c r="V168" s="37"/>
      <c r="W168" s="37"/>
      <c r="X168" s="37"/>
      <c r="Y168" s="37"/>
      <c r="Z168" s="37"/>
      <c r="AA168" s="572"/>
      <c r="AB168" s="963"/>
      <c r="AC168" s="963"/>
      <c r="AD168" s="963"/>
      <c r="AE168" s="963"/>
      <c r="AF168" s="36">
        <v>11</v>
      </c>
    </row>
    <row r="169" s="36" customFormat="1" ht="11.55" customHeight="1" spans="1:32">
      <c r="A169" s="946"/>
      <c r="B169" s="43"/>
      <c r="C169" s="43"/>
      <c r="K169" s="37"/>
      <c r="L169" s="43"/>
      <c r="M169" s="43"/>
      <c r="N169" s="37"/>
      <c r="O169" s="37"/>
      <c r="P169" s="37"/>
      <c r="Q169" s="37"/>
      <c r="R169" s="43"/>
      <c r="S169" s="37"/>
      <c r="T169" s="37"/>
      <c r="U169" s="947"/>
      <c r="V169" s="37"/>
      <c r="W169" s="37"/>
      <c r="X169" s="37"/>
      <c r="Y169" s="37"/>
      <c r="Z169" s="37"/>
      <c r="AA169" s="572"/>
      <c r="AB169" s="963"/>
      <c r="AC169" s="963"/>
      <c r="AD169" s="963"/>
      <c r="AE169" s="963"/>
      <c r="AF169" s="36">
        <v>11</v>
      </c>
    </row>
    <row r="170" s="36" customFormat="1" ht="11.55" customHeight="1" spans="1:32">
      <c r="A170" s="946"/>
      <c r="B170" s="43"/>
      <c r="C170" s="43"/>
      <c r="K170" s="37"/>
      <c r="L170" s="43"/>
      <c r="M170" s="43"/>
      <c r="N170" s="37"/>
      <c r="O170" s="37"/>
      <c r="P170" s="37"/>
      <c r="Q170" s="37"/>
      <c r="R170" s="43"/>
      <c r="S170" s="37"/>
      <c r="T170" s="37"/>
      <c r="U170" s="947"/>
      <c r="V170" s="37"/>
      <c r="W170" s="37"/>
      <c r="X170" s="37"/>
      <c r="Y170" s="37"/>
      <c r="Z170" s="37"/>
      <c r="AA170" s="572"/>
      <c r="AB170" s="963"/>
      <c r="AC170" s="963"/>
      <c r="AD170" s="963"/>
      <c r="AE170" s="963"/>
      <c r="AF170" s="36">
        <v>11</v>
      </c>
    </row>
    <row r="171" s="36" customFormat="1" ht="11.55" customHeight="1" spans="1:32">
      <c r="A171" s="946"/>
      <c r="B171" s="43"/>
      <c r="C171" s="43"/>
      <c r="K171" s="37"/>
      <c r="L171" s="43"/>
      <c r="M171" s="43"/>
      <c r="N171" s="37"/>
      <c r="O171" s="37"/>
      <c r="P171" s="37"/>
      <c r="Q171" s="37"/>
      <c r="R171" s="43"/>
      <c r="S171" s="37"/>
      <c r="T171" s="37"/>
      <c r="U171" s="947"/>
      <c r="V171" s="37"/>
      <c r="W171" s="37"/>
      <c r="X171" s="37"/>
      <c r="Y171" s="37"/>
      <c r="Z171" s="37"/>
      <c r="AA171" s="572"/>
      <c r="AB171" s="963"/>
      <c r="AC171" s="963"/>
      <c r="AD171" s="963"/>
      <c r="AE171" s="963"/>
      <c r="AF171" s="36">
        <v>11</v>
      </c>
    </row>
    <row r="172" s="36" customFormat="1" ht="11.55" customHeight="1" spans="1:32">
      <c r="A172" s="946"/>
      <c r="B172" s="43"/>
      <c r="C172" s="43"/>
      <c r="K172" s="37"/>
      <c r="L172" s="43"/>
      <c r="M172" s="43"/>
      <c r="N172" s="37"/>
      <c r="O172" s="37"/>
      <c r="P172" s="37"/>
      <c r="Q172" s="37"/>
      <c r="R172" s="43"/>
      <c r="S172" s="37"/>
      <c r="T172" s="37"/>
      <c r="U172" s="947"/>
      <c r="V172" s="37"/>
      <c r="W172" s="37"/>
      <c r="X172" s="37"/>
      <c r="Y172" s="37"/>
      <c r="Z172" s="37"/>
      <c r="AA172" s="572"/>
      <c r="AB172" s="963"/>
      <c r="AC172" s="963"/>
      <c r="AD172" s="963"/>
      <c r="AE172" s="963"/>
      <c r="AF172" s="36">
        <v>11</v>
      </c>
    </row>
    <row r="173" s="36" customFormat="1" ht="11.55" customHeight="1" spans="1:32">
      <c r="A173" s="946"/>
      <c r="B173" s="43"/>
      <c r="C173" s="43"/>
      <c r="K173" s="37"/>
      <c r="L173" s="43"/>
      <c r="M173" s="43"/>
      <c r="N173" s="37"/>
      <c r="O173" s="37"/>
      <c r="P173" s="37"/>
      <c r="Q173" s="37"/>
      <c r="R173" s="43"/>
      <c r="S173" s="37"/>
      <c r="T173" s="37"/>
      <c r="U173" s="947"/>
      <c r="V173" s="37"/>
      <c r="W173" s="37"/>
      <c r="X173" s="37"/>
      <c r="Y173" s="37"/>
      <c r="Z173" s="37"/>
      <c r="AA173" s="572"/>
      <c r="AB173" s="963"/>
      <c r="AC173" s="963"/>
      <c r="AD173" s="963"/>
      <c r="AE173" s="963"/>
      <c r="AF173" s="36">
        <v>11</v>
      </c>
    </row>
    <row r="174" s="36" customFormat="1" ht="11.55" customHeight="1" spans="1:32">
      <c r="A174" s="946"/>
      <c r="B174" s="43"/>
      <c r="C174" s="43"/>
      <c r="K174" s="37"/>
      <c r="L174" s="43"/>
      <c r="M174" s="43"/>
      <c r="N174" s="37"/>
      <c r="O174" s="37"/>
      <c r="P174" s="37"/>
      <c r="Q174" s="37"/>
      <c r="R174" s="43"/>
      <c r="S174" s="37"/>
      <c r="T174" s="37"/>
      <c r="U174" s="947"/>
      <c r="V174" s="37"/>
      <c r="W174" s="37"/>
      <c r="X174" s="37"/>
      <c r="Y174" s="37"/>
      <c r="Z174" s="37"/>
      <c r="AA174" s="572"/>
      <c r="AB174" s="963"/>
      <c r="AC174" s="963"/>
      <c r="AD174" s="963"/>
      <c r="AE174" s="963"/>
      <c r="AF174" s="36">
        <v>11</v>
      </c>
    </row>
    <row r="175" s="36" customFormat="1" ht="11.55" customHeight="1" spans="1:32">
      <c r="A175" s="946"/>
      <c r="B175" s="43"/>
      <c r="C175" s="43"/>
      <c r="K175" s="37"/>
      <c r="L175" s="43"/>
      <c r="M175" s="43"/>
      <c r="N175" s="37"/>
      <c r="O175" s="37"/>
      <c r="P175" s="37"/>
      <c r="Q175" s="37"/>
      <c r="R175" s="43"/>
      <c r="S175" s="37"/>
      <c r="T175" s="37"/>
      <c r="U175" s="947"/>
      <c r="V175" s="37"/>
      <c r="W175" s="37"/>
      <c r="X175" s="37"/>
      <c r="Y175" s="37"/>
      <c r="Z175" s="37"/>
      <c r="AA175" s="572"/>
      <c r="AB175" s="963"/>
      <c r="AC175" s="963"/>
      <c r="AD175" s="963"/>
      <c r="AE175" s="963"/>
      <c r="AF175" s="36">
        <v>11</v>
      </c>
    </row>
    <row r="176" s="36" customFormat="1" ht="11.55" customHeight="1" spans="1:32">
      <c r="A176" s="946"/>
      <c r="B176" s="43"/>
      <c r="C176" s="43"/>
      <c r="K176" s="37"/>
      <c r="L176" s="43"/>
      <c r="M176" s="43"/>
      <c r="N176" s="37"/>
      <c r="O176" s="37"/>
      <c r="P176" s="37"/>
      <c r="Q176" s="37"/>
      <c r="R176" s="43"/>
      <c r="S176" s="37"/>
      <c r="T176" s="37"/>
      <c r="U176" s="947"/>
      <c r="V176" s="37"/>
      <c r="W176" s="37"/>
      <c r="X176" s="37"/>
      <c r="Y176" s="37"/>
      <c r="Z176" s="37"/>
      <c r="AA176" s="572"/>
      <c r="AB176" s="963"/>
      <c r="AC176" s="963"/>
      <c r="AD176" s="963"/>
      <c r="AE176" s="963"/>
      <c r="AF176" s="36">
        <v>11</v>
      </c>
    </row>
    <row r="177" s="36" customFormat="1" ht="11.55" customHeight="1" spans="1:32">
      <c r="A177" s="946"/>
      <c r="B177" s="43"/>
      <c r="C177" s="43"/>
      <c r="K177" s="37"/>
      <c r="L177" s="43"/>
      <c r="M177" s="43"/>
      <c r="N177" s="37"/>
      <c r="O177" s="37"/>
      <c r="P177" s="37"/>
      <c r="Q177" s="37"/>
      <c r="R177" s="43"/>
      <c r="S177" s="37"/>
      <c r="T177" s="37"/>
      <c r="U177" s="947"/>
      <c r="V177" s="37"/>
      <c r="W177" s="37"/>
      <c r="X177" s="37"/>
      <c r="Y177" s="37"/>
      <c r="Z177" s="37"/>
      <c r="AA177" s="572"/>
      <c r="AB177" s="963"/>
      <c r="AC177" s="963"/>
      <c r="AD177" s="963"/>
      <c r="AE177" s="963"/>
      <c r="AF177" s="36">
        <v>11</v>
      </c>
    </row>
    <row r="178" s="36" customFormat="1" ht="11.55" customHeight="1" spans="1:32">
      <c r="A178" s="946"/>
      <c r="B178" s="43"/>
      <c r="C178" s="43"/>
      <c r="K178" s="37"/>
      <c r="L178" s="43"/>
      <c r="M178" s="43"/>
      <c r="N178" s="37"/>
      <c r="O178" s="37"/>
      <c r="P178" s="37"/>
      <c r="Q178" s="37"/>
      <c r="R178" s="43"/>
      <c r="S178" s="37"/>
      <c r="T178" s="37"/>
      <c r="U178" s="947"/>
      <c r="V178" s="37"/>
      <c r="W178" s="37"/>
      <c r="X178" s="37"/>
      <c r="Y178" s="37"/>
      <c r="Z178" s="37"/>
      <c r="AA178" s="572"/>
      <c r="AB178" s="963"/>
      <c r="AC178" s="963"/>
      <c r="AD178" s="963"/>
      <c r="AE178" s="963"/>
      <c r="AF178" s="36">
        <v>11</v>
      </c>
    </row>
    <row r="179" s="36" customFormat="1" ht="11.55" customHeight="1" spans="1:32">
      <c r="A179" s="946"/>
      <c r="B179" s="43"/>
      <c r="C179" s="43"/>
      <c r="K179" s="37"/>
      <c r="L179" s="43"/>
      <c r="M179" s="43"/>
      <c r="N179" s="37"/>
      <c r="O179" s="37"/>
      <c r="P179" s="37"/>
      <c r="Q179" s="37"/>
      <c r="R179" s="43"/>
      <c r="S179" s="37"/>
      <c r="T179" s="37"/>
      <c r="U179" s="947"/>
      <c r="V179" s="37"/>
      <c r="W179" s="37"/>
      <c r="X179" s="37"/>
      <c r="Y179" s="37"/>
      <c r="Z179" s="37"/>
      <c r="AA179" s="572"/>
      <c r="AB179" s="963"/>
      <c r="AC179" s="963"/>
      <c r="AD179" s="963"/>
      <c r="AE179" s="963"/>
      <c r="AF179" s="36">
        <v>11</v>
      </c>
    </row>
    <row r="180" s="36" customFormat="1" ht="11.55" customHeight="1" spans="1:32">
      <c r="A180" s="946"/>
      <c r="B180" s="43"/>
      <c r="C180" s="43"/>
      <c r="K180" s="37"/>
      <c r="L180" s="43"/>
      <c r="M180" s="43"/>
      <c r="N180" s="37"/>
      <c r="O180" s="37"/>
      <c r="P180" s="37"/>
      <c r="Q180" s="37"/>
      <c r="R180" s="43"/>
      <c r="S180" s="37"/>
      <c r="T180" s="37"/>
      <c r="U180" s="947"/>
      <c r="V180" s="37"/>
      <c r="W180" s="37"/>
      <c r="X180" s="37"/>
      <c r="Y180" s="37"/>
      <c r="Z180" s="37"/>
      <c r="AA180" s="572"/>
      <c r="AB180" s="963"/>
      <c r="AC180" s="963"/>
      <c r="AD180" s="963"/>
      <c r="AE180" s="963"/>
      <c r="AF180" s="36">
        <v>11</v>
      </c>
    </row>
    <row r="181" s="36" customFormat="1" ht="11.55" customHeight="1" spans="1:32">
      <c r="A181" s="946"/>
      <c r="B181" s="43"/>
      <c r="C181" s="43"/>
      <c r="K181" s="37"/>
      <c r="L181" s="43"/>
      <c r="M181" s="43"/>
      <c r="N181" s="37"/>
      <c r="O181" s="37"/>
      <c r="P181" s="37"/>
      <c r="Q181" s="37"/>
      <c r="R181" s="43"/>
      <c r="S181" s="37"/>
      <c r="T181" s="37"/>
      <c r="U181" s="947"/>
      <c r="V181" s="37"/>
      <c r="W181" s="37"/>
      <c r="X181" s="37"/>
      <c r="Y181" s="37"/>
      <c r="Z181" s="37"/>
      <c r="AA181" s="572"/>
      <c r="AB181" s="963"/>
      <c r="AC181" s="963"/>
      <c r="AD181" s="963"/>
      <c r="AE181" s="963"/>
      <c r="AF181" s="36">
        <v>11</v>
      </c>
    </row>
    <row r="182" s="36" customFormat="1" ht="11.55" customHeight="1" spans="1:32">
      <c r="A182" s="946"/>
      <c r="B182" s="43"/>
      <c r="C182" s="43"/>
      <c r="K182" s="37"/>
      <c r="L182" s="43"/>
      <c r="M182" s="43"/>
      <c r="N182" s="37"/>
      <c r="O182" s="37"/>
      <c r="P182" s="37"/>
      <c r="Q182" s="37"/>
      <c r="R182" s="43"/>
      <c r="S182" s="37"/>
      <c r="T182" s="37"/>
      <c r="U182" s="947"/>
      <c r="V182" s="37"/>
      <c r="W182" s="37"/>
      <c r="X182" s="37"/>
      <c r="Y182" s="37"/>
      <c r="Z182" s="37"/>
      <c r="AA182" s="572"/>
      <c r="AB182" s="963"/>
      <c r="AC182" s="963"/>
      <c r="AD182" s="963"/>
      <c r="AE182" s="963"/>
      <c r="AF182" s="36">
        <v>11</v>
      </c>
    </row>
    <row r="183" s="36" customFormat="1" ht="11.55" customHeight="1" spans="1:32">
      <c r="A183" s="946"/>
      <c r="B183" s="43"/>
      <c r="C183" s="43"/>
      <c r="K183" s="37"/>
      <c r="L183" s="43"/>
      <c r="M183" s="43"/>
      <c r="N183" s="37"/>
      <c r="O183" s="37"/>
      <c r="P183" s="37"/>
      <c r="Q183" s="37"/>
      <c r="R183" s="43"/>
      <c r="S183" s="37"/>
      <c r="T183" s="37"/>
      <c r="U183" s="947"/>
      <c r="V183" s="37"/>
      <c r="W183" s="37"/>
      <c r="X183" s="37"/>
      <c r="Y183" s="37"/>
      <c r="Z183" s="37"/>
      <c r="AA183" s="572"/>
      <c r="AB183" s="963"/>
      <c r="AC183" s="963"/>
      <c r="AD183" s="963"/>
      <c r="AE183" s="963"/>
      <c r="AF183" s="36">
        <v>11</v>
      </c>
    </row>
    <row r="184" s="36" customFormat="1" ht="11.55" customHeight="1" spans="1:32">
      <c r="A184" s="946"/>
      <c r="B184" s="43"/>
      <c r="C184" s="43"/>
      <c r="K184" s="37"/>
      <c r="L184" s="43"/>
      <c r="M184" s="43"/>
      <c r="N184" s="37"/>
      <c r="O184" s="37"/>
      <c r="P184" s="37"/>
      <c r="Q184" s="37"/>
      <c r="R184" s="43"/>
      <c r="S184" s="37"/>
      <c r="T184" s="37"/>
      <c r="U184" s="947"/>
      <c r="V184" s="37"/>
      <c r="W184" s="37"/>
      <c r="X184" s="37"/>
      <c r="Y184" s="37"/>
      <c r="Z184" s="37"/>
      <c r="AA184" s="572"/>
      <c r="AB184" s="963"/>
      <c r="AC184" s="963"/>
      <c r="AD184" s="963"/>
      <c r="AE184" s="963"/>
      <c r="AF184" s="36">
        <v>11</v>
      </c>
    </row>
    <row r="185" s="36" customFormat="1" ht="11.55" customHeight="1" spans="1:32">
      <c r="A185" s="946"/>
      <c r="B185" s="43"/>
      <c r="C185" s="43"/>
      <c r="K185" s="37"/>
      <c r="L185" s="43"/>
      <c r="M185" s="43"/>
      <c r="N185" s="37"/>
      <c r="O185" s="37"/>
      <c r="P185" s="37"/>
      <c r="Q185" s="37"/>
      <c r="R185" s="43"/>
      <c r="S185" s="37"/>
      <c r="T185" s="37"/>
      <c r="U185" s="947"/>
      <c r="V185" s="37"/>
      <c r="W185" s="37"/>
      <c r="X185" s="37"/>
      <c r="Y185" s="37"/>
      <c r="Z185" s="37"/>
      <c r="AA185" s="572"/>
      <c r="AB185" s="963"/>
      <c r="AC185" s="963"/>
      <c r="AD185" s="963"/>
      <c r="AE185" s="963"/>
      <c r="AF185" s="36">
        <v>11</v>
      </c>
    </row>
    <row r="186" s="36" customFormat="1" ht="11.55" customHeight="1" spans="1:32">
      <c r="A186" s="946"/>
      <c r="B186" s="43"/>
      <c r="C186" s="43"/>
      <c r="K186" s="37"/>
      <c r="L186" s="43"/>
      <c r="M186" s="43"/>
      <c r="N186" s="37"/>
      <c r="O186" s="37"/>
      <c r="P186" s="37"/>
      <c r="Q186" s="37"/>
      <c r="R186" s="43"/>
      <c r="S186" s="37"/>
      <c r="T186" s="37"/>
      <c r="U186" s="947"/>
      <c r="V186" s="37"/>
      <c r="W186" s="37"/>
      <c r="X186" s="37"/>
      <c r="Y186" s="37"/>
      <c r="Z186" s="37"/>
      <c r="AA186" s="572"/>
      <c r="AB186" s="963"/>
      <c r="AC186" s="963"/>
      <c r="AD186" s="963"/>
      <c r="AE186" s="963"/>
      <c r="AF186" s="36">
        <v>11</v>
      </c>
    </row>
    <row r="187" s="36" customFormat="1" ht="11.55" customHeight="1" spans="1:32">
      <c r="A187" s="946"/>
      <c r="B187" s="43"/>
      <c r="C187" s="43"/>
      <c r="K187" s="37"/>
      <c r="L187" s="43"/>
      <c r="M187" s="43"/>
      <c r="N187" s="37"/>
      <c r="O187" s="37"/>
      <c r="P187" s="37"/>
      <c r="Q187" s="37"/>
      <c r="R187" s="43"/>
      <c r="S187" s="37"/>
      <c r="T187" s="37"/>
      <c r="U187" s="947"/>
      <c r="V187" s="37"/>
      <c r="W187" s="37"/>
      <c r="X187" s="37"/>
      <c r="Y187" s="37"/>
      <c r="Z187" s="37"/>
      <c r="AA187" s="572"/>
      <c r="AB187" s="963"/>
      <c r="AC187" s="963"/>
      <c r="AD187" s="963"/>
      <c r="AE187" s="963"/>
      <c r="AF187" s="36">
        <v>11</v>
      </c>
    </row>
    <row r="188" s="36" customFormat="1" ht="11.55" customHeight="1" spans="1:32">
      <c r="A188" s="946"/>
      <c r="B188" s="43"/>
      <c r="C188" s="43"/>
      <c r="K188" s="37"/>
      <c r="L188" s="43"/>
      <c r="M188" s="43"/>
      <c r="N188" s="37"/>
      <c r="O188" s="37"/>
      <c r="P188" s="37"/>
      <c r="Q188" s="37"/>
      <c r="R188" s="43"/>
      <c r="S188" s="37"/>
      <c r="T188" s="37"/>
      <c r="U188" s="947"/>
      <c r="V188" s="37"/>
      <c r="W188" s="37"/>
      <c r="X188" s="37"/>
      <c r="Y188" s="37"/>
      <c r="Z188" s="37"/>
      <c r="AA188" s="572"/>
      <c r="AB188" s="963"/>
      <c r="AC188" s="963"/>
      <c r="AD188" s="963"/>
      <c r="AE188" s="963"/>
      <c r="AF188" s="36">
        <v>11</v>
      </c>
    </row>
    <row r="189" s="36" customFormat="1" ht="11.55" customHeight="1" spans="1:32">
      <c r="A189" s="946"/>
      <c r="B189" s="43"/>
      <c r="C189" s="43"/>
      <c r="K189" s="37"/>
      <c r="L189" s="43"/>
      <c r="M189" s="43"/>
      <c r="N189" s="37"/>
      <c r="O189" s="37"/>
      <c r="P189" s="37"/>
      <c r="Q189" s="37"/>
      <c r="R189" s="43"/>
      <c r="S189" s="37"/>
      <c r="T189" s="37"/>
      <c r="U189" s="947"/>
      <c r="V189" s="37"/>
      <c r="W189" s="37"/>
      <c r="X189" s="37"/>
      <c r="Y189" s="37"/>
      <c r="Z189" s="37"/>
      <c r="AA189" s="572"/>
      <c r="AB189" s="963"/>
      <c r="AC189" s="963"/>
      <c r="AD189" s="963"/>
      <c r="AE189" s="963"/>
      <c r="AF189" s="36">
        <v>11</v>
      </c>
    </row>
    <row r="190" s="36" customFormat="1" ht="11.55" customHeight="1" spans="1:32">
      <c r="A190" s="946"/>
      <c r="B190" s="43"/>
      <c r="C190" s="43"/>
      <c r="K190" s="37"/>
      <c r="L190" s="43"/>
      <c r="M190" s="43"/>
      <c r="N190" s="37"/>
      <c r="O190" s="37"/>
      <c r="P190" s="37"/>
      <c r="Q190" s="37"/>
      <c r="R190" s="43"/>
      <c r="S190" s="37"/>
      <c r="T190" s="37"/>
      <c r="U190" s="947"/>
      <c r="V190" s="37"/>
      <c r="W190" s="37"/>
      <c r="X190" s="37"/>
      <c r="Y190" s="37"/>
      <c r="Z190" s="37"/>
      <c r="AA190" s="572"/>
      <c r="AB190" s="963"/>
      <c r="AC190" s="963"/>
      <c r="AD190" s="963"/>
      <c r="AE190" s="963"/>
      <c r="AF190" s="36">
        <v>11</v>
      </c>
    </row>
    <row r="191" s="36" customFormat="1" ht="11.55" customHeight="1" spans="1:32">
      <c r="A191" s="946"/>
      <c r="B191" s="43"/>
      <c r="C191" s="43"/>
      <c r="K191" s="37"/>
      <c r="L191" s="43"/>
      <c r="M191" s="43"/>
      <c r="N191" s="37"/>
      <c r="O191" s="37"/>
      <c r="P191" s="37"/>
      <c r="Q191" s="37"/>
      <c r="R191" s="43"/>
      <c r="S191" s="37"/>
      <c r="T191" s="37"/>
      <c r="U191" s="947"/>
      <c r="V191" s="37"/>
      <c r="W191" s="37"/>
      <c r="X191" s="37"/>
      <c r="Y191" s="37"/>
      <c r="Z191" s="37"/>
      <c r="AA191" s="572"/>
      <c r="AB191" s="963"/>
      <c r="AC191" s="963"/>
      <c r="AD191" s="963"/>
      <c r="AE191" s="963"/>
      <c r="AF191" s="36">
        <v>11</v>
      </c>
    </row>
    <row r="192" s="36" customFormat="1" ht="11.55" customHeight="1" spans="1:32">
      <c r="A192" s="946"/>
      <c r="B192" s="43"/>
      <c r="C192" s="43"/>
      <c r="K192" s="37"/>
      <c r="L192" s="43"/>
      <c r="M192" s="43"/>
      <c r="N192" s="37"/>
      <c r="O192" s="37"/>
      <c r="P192" s="37"/>
      <c r="Q192" s="37"/>
      <c r="R192" s="43"/>
      <c r="S192" s="37"/>
      <c r="T192" s="37"/>
      <c r="U192" s="947"/>
      <c r="V192" s="37"/>
      <c r="W192" s="37"/>
      <c r="X192" s="37"/>
      <c r="Y192" s="37"/>
      <c r="Z192" s="37"/>
      <c r="AA192" s="572"/>
      <c r="AB192" s="963"/>
      <c r="AC192" s="963"/>
      <c r="AD192" s="963"/>
      <c r="AE192" s="963"/>
      <c r="AF192" s="36">
        <v>11</v>
      </c>
    </row>
    <row r="193" s="36" customFormat="1" ht="11.55" customHeight="1" spans="1:32">
      <c r="A193" s="946"/>
      <c r="B193" s="43"/>
      <c r="C193" s="43"/>
      <c r="K193" s="37"/>
      <c r="L193" s="43"/>
      <c r="M193" s="43"/>
      <c r="N193" s="37"/>
      <c r="O193" s="37"/>
      <c r="P193" s="37"/>
      <c r="Q193" s="37"/>
      <c r="R193" s="43"/>
      <c r="S193" s="37"/>
      <c r="T193" s="37"/>
      <c r="U193" s="947"/>
      <c r="V193" s="37"/>
      <c r="W193" s="37"/>
      <c r="X193" s="37"/>
      <c r="Y193" s="37"/>
      <c r="Z193" s="37"/>
      <c r="AA193" s="572"/>
      <c r="AB193" s="963"/>
      <c r="AC193" s="963"/>
      <c r="AD193" s="963"/>
      <c r="AE193" s="963"/>
      <c r="AF193" s="36">
        <v>11</v>
      </c>
    </row>
    <row r="194" s="36" customFormat="1" ht="11.55" customHeight="1" spans="1:32">
      <c r="A194" s="946"/>
      <c r="B194" s="43"/>
      <c r="C194" s="43"/>
      <c r="K194" s="37"/>
      <c r="L194" s="43"/>
      <c r="M194" s="43"/>
      <c r="N194" s="37"/>
      <c r="O194" s="37"/>
      <c r="P194" s="37"/>
      <c r="Q194" s="37"/>
      <c r="R194" s="43"/>
      <c r="S194" s="37"/>
      <c r="T194" s="37"/>
      <c r="U194" s="947"/>
      <c r="V194" s="37"/>
      <c r="W194" s="37"/>
      <c r="X194" s="37"/>
      <c r="Y194" s="37"/>
      <c r="Z194" s="37"/>
      <c r="AA194" s="572"/>
      <c r="AB194" s="963"/>
      <c r="AC194" s="963"/>
      <c r="AD194" s="963"/>
      <c r="AE194" s="963"/>
      <c r="AF194" s="36">
        <v>11</v>
      </c>
    </row>
    <row r="195" s="36" customFormat="1" ht="11.55" customHeight="1" spans="1:32">
      <c r="A195" s="946"/>
      <c r="B195" s="43"/>
      <c r="C195" s="43"/>
      <c r="K195" s="37"/>
      <c r="L195" s="43"/>
      <c r="M195" s="43"/>
      <c r="N195" s="37"/>
      <c r="O195" s="37"/>
      <c r="P195" s="37"/>
      <c r="Q195" s="37"/>
      <c r="R195" s="43"/>
      <c r="S195" s="37"/>
      <c r="T195" s="37"/>
      <c r="U195" s="947"/>
      <c r="V195" s="37"/>
      <c r="W195" s="37"/>
      <c r="X195" s="37"/>
      <c r="Y195" s="37"/>
      <c r="Z195" s="37"/>
      <c r="AA195" s="572"/>
      <c r="AB195" s="963"/>
      <c r="AC195" s="963"/>
      <c r="AD195" s="963"/>
      <c r="AE195" s="963"/>
      <c r="AF195" s="36">
        <v>11</v>
      </c>
    </row>
    <row r="196" s="36" customFormat="1" ht="11.55" customHeight="1" spans="1:32">
      <c r="A196" s="946"/>
      <c r="B196" s="43"/>
      <c r="C196" s="43"/>
      <c r="K196" s="37"/>
      <c r="L196" s="43"/>
      <c r="M196" s="43"/>
      <c r="N196" s="37"/>
      <c r="O196" s="37"/>
      <c r="P196" s="37"/>
      <c r="Q196" s="37"/>
      <c r="R196" s="43"/>
      <c r="S196" s="37"/>
      <c r="T196" s="37"/>
      <c r="U196" s="947"/>
      <c r="V196" s="37"/>
      <c r="W196" s="37"/>
      <c r="X196" s="37"/>
      <c r="Y196" s="37"/>
      <c r="Z196" s="37"/>
      <c r="AA196" s="572"/>
      <c r="AB196" s="963"/>
      <c r="AC196" s="963"/>
      <c r="AD196" s="963"/>
      <c r="AE196" s="963"/>
      <c r="AF196" s="36">
        <v>11</v>
      </c>
    </row>
    <row r="197" s="36" customFormat="1" ht="11.55" customHeight="1" spans="1:32">
      <c r="A197" s="946"/>
      <c r="B197" s="43"/>
      <c r="C197" s="43"/>
      <c r="K197" s="37"/>
      <c r="L197" s="43"/>
      <c r="M197" s="43"/>
      <c r="N197" s="37"/>
      <c r="O197" s="37"/>
      <c r="P197" s="37"/>
      <c r="Q197" s="37"/>
      <c r="R197" s="43"/>
      <c r="S197" s="37"/>
      <c r="T197" s="37"/>
      <c r="U197" s="947"/>
      <c r="V197" s="37"/>
      <c r="W197" s="37"/>
      <c r="X197" s="37"/>
      <c r="Y197" s="37"/>
      <c r="Z197" s="37"/>
      <c r="AA197" s="572"/>
      <c r="AB197" s="963"/>
      <c r="AC197" s="963"/>
      <c r="AD197" s="963"/>
      <c r="AE197" s="963"/>
      <c r="AF197" s="36">
        <v>11</v>
      </c>
    </row>
    <row r="198" s="36" customFormat="1" ht="11.55" customHeight="1" spans="1:32">
      <c r="A198" s="946"/>
      <c r="B198" s="43"/>
      <c r="C198" s="43"/>
      <c r="K198" s="37"/>
      <c r="L198" s="43"/>
      <c r="M198" s="43"/>
      <c r="N198" s="37"/>
      <c r="O198" s="37"/>
      <c r="P198" s="37"/>
      <c r="Q198" s="37"/>
      <c r="R198" s="43"/>
      <c r="S198" s="37"/>
      <c r="T198" s="37"/>
      <c r="U198" s="947"/>
      <c r="V198" s="37"/>
      <c r="W198" s="37"/>
      <c r="X198" s="37"/>
      <c r="Y198" s="37"/>
      <c r="Z198" s="37"/>
      <c r="AA198" s="572"/>
      <c r="AB198" s="963"/>
      <c r="AC198" s="963"/>
      <c r="AD198" s="963"/>
      <c r="AE198" s="963"/>
      <c r="AF198" s="36">
        <v>11</v>
      </c>
    </row>
    <row r="199" s="36" customFormat="1" ht="11.55" customHeight="1" spans="1:32">
      <c r="A199" s="946"/>
      <c r="B199" s="43"/>
      <c r="C199" s="43"/>
      <c r="K199" s="37"/>
      <c r="L199" s="43"/>
      <c r="M199" s="43"/>
      <c r="N199" s="37"/>
      <c r="O199" s="37"/>
      <c r="P199" s="37"/>
      <c r="Q199" s="37"/>
      <c r="R199" s="43"/>
      <c r="S199" s="37"/>
      <c r="T199" s="37"/>
      <c r="U199" s="947"/>
      <c r="V199" s="37"/>
      <c r="W199" s="37"/>
      <c r="X199" s="37"/>
      <c r="Y199" s="37"/>
      <c r="Z199" s="37"/>
      <c r="AA199" s="572"/>
      <c r="AB199" s="963"/>
      <c r="AC199" s="963"/>
      <c r="AD199" s="963"/>
      <c r="AE199" s="963"/>
      <c r="AF199" s="36">
        <v>11</v>
      </c>
    </row>
    <row r="200" s="36" customFormat="1" ht="11.55" customHeight="1" spans="1:32">
      <c r="A200" s="946"/>
      <c r="B200" s="43"/>
      <c r="C200" s="43"/>
      <c r="K200" s="37"/>
      <c r="L200" s="43"/>
      <c r="M200" s="43"/>
      <c r="N200" s="37"/>
      <c r="O200" s="37"/>
      <c r="P200" s="37"/>
      <c r="Q200" s="37"/>
      <c r="R200" s="43"/>
      <c r="S200" s="37"/>
      <c r="T200" s="37"/>
      <c r="U200" s="947"/>
      <c r="V200" s="37"/>
      <c r="W200" s="37"/>
      <c r="X200" s="37"/>
      <c r="Y200" s="37"/>
      <c r="Z200" s="37"/>
      <c r="AA200" s="572"/>
      <c r="AB200" s="963"/>
      <c r="AC200" s="963"/>
      <c r="AD200" s="963"/>
      <c r="AE200" s="963"/>
      <c r="AF200" s="36">
        <v>11</v>
      </c>
    </row>
    <row r="201" s="36" customFormat="1" ht="11.55" customHeight="1" spans="1:32">
      <c r="A201" s="946"/>
      <c r="B201" s="43"/>
      <c r="C201" s="43"/>
      <c r="K201" s="37"/>
      <c r="L201" s="43"/>
      <c r="M201" s="43"/>
      <c r="N201" s="37"/>
      <c r="O201" s="37"/>
      <c r="P201" s="37"/>
      <c r="Q201" s="37"/>
      <c r="R201" s="43"/>
      <c r="S201" s="37"/>
      <c r="T201" s="37"/>
      <c r="U201" s="947"/>
      <c r="V201" s="37"/>
      <c r="W201" s="37"/>
      <c r="X201" s="37"/>
      <c r="Y201" s="37"/>
      <c r="Z201" s="37"/>
      <c r="AA201" s="572"/>
      <c r="AB201" s="963"/>
      <c r="AC201" s="963"/>
      <c r="AD201" s="963"/>
      <c r="AE201" s="963"/>
      <c r="AF201" s="36">
        <v>11</v>
      </c>
    </row>
    <row r="202" s="36" customFormat="1" ht="11.55" customHeight="1" spans="1:32">
      <c r="A202" s="946"/>
      <c r="B202" s="43"/>
      <c r="C202" s="43"/>
      <c r="K202" s="37"/>
      <c r="L202" s="43"/>
      <c r="M202" s="43"/>
      <c r="N202" s="37"/>
      <c r="O202" s="37"/>
      <c r="P202" s="37"/>
      <c r="Q202" s="37"/>
      <c r="R202" s="43"/>
      <c r="S202" s="37"/>
      <c r="T202" s="37"/>
      <c r="U202" s="947"/>
      <c r="V202" s="37"/>
      <c r="W202" s="37"/>
      <c r="X202" s="37"/>
      <c r="Y202" s="37"/>
      <c r="Z202" s="37"/>
      <c r="AA202" s="572"/>
      <c r="AB202" s="963"/>
      <c r="AC202" s="963"/>
      <c r="AD202" s="963"/>
      <c r="AE202" s="963"/>
      <c r="AF202" s="36">
        <v>11</v>
      </c>
    </row>
    <row r="203" ht="11.55" customHeight="1" spans="32:32">
      <c r="AF203" s="42">
        <v>11</v>
      </c>
    </row>
    <row r="204" ht="11.55" customHeight="1" spans="32:32">
      <c r="AF204" s="42">
        <v>11</v>
      </c>
    </row>
    <row r="205" ht="11.55" customHeight="1" spans="32:32">
      <c r="AF205" s="42">
        <v>11</v>
      </c>
    </row>
    <row r="206" ht="11.55" customHeight="1" spans="1:32">
      <c r="A206" s="967"/>
      <c r="B206" s="42"/>
      <c r="K206" s="42"/>
      <c r="N206" s="42"/>
      <c r="O206" s="42"/>
      <c r="P206" s="42"/>
      <c r="Q206" s="42"/>
      <c r="S206" s="42"/>
      <c r="T206" s="42"/>
      <c r="U206" s="42"/>
      <c r="V206" s="42"/>
      <c r="W206" s="42"/>
      <c r="X206" s="42"/>
      <c r="Y206" s="42"/>
      <c r="Z206" s="42"/>
      <c r="AA206" s="42"/>
      <c r="AB206" s="42"/>
      <c r="AC206" s="42"/>
      <c r="AD206" s="42"/>
      <c r="AE206" s="42"/>
      <c r="AF206" s="42">
        <v>11</v>
      </c>
    </row>
    <row r="207" ht="11.55" customHeight="1" spans="1:32">
      <c r="A207" s="967"/>
      <c r="B207" s="42"/>
      <c r="K207" s="42"/>
      <c r="N207" s="42"/>
      <c r="O207" s="42"/>
      <c r="P207" s="42"/>
      <c r="Q207" s="42"/>
      <c r="S207" s="42"/>
      <c r="T207" s="42"/>
      <c r="U207" s="42"/>
      <c r="V207" s="42"/>
      <c r="W207" s="42"/>
      <c r="X207" s="42"/>
      <c r="Y207" s="42"/>
      <c r="Z207" s="42"/>
      <c r="AA207" s="42"/>
      <c r="AB207" s="42"/>
      <c r="AC207" s="42"/>
      <c r="AD207" s="42"/>
      <c r="AE207" s="42"/>
      <c r="AF207" s="42">
        <v>11</v>
      </c>
    </row>
    <row r="208" ht="11.55" customHeight="1" spans="1:32">
      <c r="A208" s="967"/>
      <c r="B208" s="42"/>
      <c r="K208" s="42"/>
      <c r="N208" s="42"/>
      <c r="O208" s="42"/>
      <c r="P208" s="42"/>
      <c r="Q208" s="42"/>
      <c r="S208" s="42"/>
      <c r="T208" s="42"/>
      <c r="U208" s="42"/>
      <c r="V208" s="42"/>
      <c r="W208" s="42"/>
      <c r="X208" s="42"/>
      <c r="Y208" s="42"/>
      <c r="Z208" s="42"/>
      <c r="AA208" s="42"/>
      <c r="AB208" s="42"/>
      <c r="AC208" s="42"/>
      <c r="AD208" s="42"/>
      <c r="AE208" s="42"/>
      <c r="AF208" s="42">
        <v>11</v>
      </c>
    </row>
    <row r="209" ht="11.55" customHeight="1" spans="1:32">
      <c r="A209" s="967"/>
      <c r="B209" s="42"/>
      <c r="K209" s="42"/>
      <c r="N209" s="42"/>
      <c r="O209" s="42"/>
      <c r="P209" s="42"/>
      <c r="Q209" s="42"/>
      <c r="S209" s="42"/>
      <c r="T209" s="42"/>
      <c r="U209" s="42"/>
      <c r="V209" s="42"/>
      <c r="W209" s="42"/>
      <c r="X209" s="42"/>
      <c r="Y209" s="42"/>
      <c r="Z209" s="42"/>
      <c r="AA209" s="42"/>
      <c r="AB209" s="42"/>
      <c r="AC209" s="42"/>
      <c r="AD209" s="42"/>
      <c r="AE209" s="42"/>
      <c r="AF209" s="42">
        <v>11</v>
      </c>
    </row>
    <row r="210" ht="11.55" customHeight="1" spans="1:32">
      <c r="A210" s="967"/>
      <c r="B210" s="42"/>
      <c r="K210" s="42"/>
      <c r="N210" s="42"/>
      <c r="O210" s="42"/>
      <c r="P210" s="42"/>
      <c r="Q210" s="42"/>
      <c r="S210" s="42"/>
      <c r="T210" s="42"/>
      <c r="U210" s="42"/>
      <c r="V210" s="42"/>
      <c r="W210" s="42"/>
      <c r="X210" s="42"/>
      <c r="Y210" s="42"/>
      <c r="Z210" s="42"/>
      <c r="AA210" s="42"/>
      <c r="AB210" s="42"/>
      <c r="AC210" s="42"/>
      <c r="AD210" s="42"/>
      <c r="AE210" s="42"/>
      <c r="AF210" s="42">
        <v>11</v>
      </c>
    </row>
    <row r="211" ht="11.55" customHeight="1" spans="1:32">
      <c r="A211" s="967"/>
      <c r="B211" s="42"/>
      <c r="K211" s="42"/>
      <c r="N211" s="42"/>
      <c r="O211" s="42"/>
      <c r="P211" s="42"/>
      <c r="Q211" s="42"/>
      <c r="S211" s="42"/>
      <c r="T211" s="42"/>
      <c r="U211" s="42"/>
      <c r="V211" s="42"/>
      <c r="W211" s="42"/>
      <c r="X211" s="42"/>
      <c r="Y211" s="42"/>
      <c r="Z211" s="42"/>
      <c r="AA211" s="42"/>
      <c r="AB211" s="42"/>
      <c r="AC211" s="42"/>
      <c r="AD211" s="42"/>
      <c r="AE211" s="42"/>
      <c r="AF211" s="42">
        <v>11</v>
      </c>
    </row>
    <row r="212" ht="11.55" customHeight="1" spans="1:32">
      <c r="A212" s="967"/>
      <c r="B212" s="42"/>
      <c r="K212" s="42"/>
      <c r="N212" s="42"/>
      <c r="O212" s="42"/>
      <c r="P212" s="42"/>
      <c r="Q212" s="42"/>
      <c r="S212" s="42"/>
      <c r="T212" s="42"/>
      <c r="U212" s="42"/>
      <c r="V212" s="42"/>
      <c r="W212" s="42"/>
      <c r="X212" s="42"/>
      <c r="Y212" s="42"/>
      <c r="Z212" s="42"/>
      <c r="AA212" s="42"/>
      <c r="AB212" s="42"/>
      <c r="AC212" s="42"/>
      <c r="AD212" s="42"/>
      <c r="AE212" s="42"/>
      <c r="AF212" s="42">
        <v>11</v>
      </c>
    </row>
    <row r="213" ht="11.55" customHeight="1" spans="1:32">
      <c r="A213" s="967"/>
      <c r="B213" s="42"/>
      <c r="K213" s="42"/>
      <c r="N213" s="42"/>
      <c r="O213" s="42"/>
      <c r="P213" s="42"/>
      <c r="Q213" s="42"/>
      <c r="S213" s="42"/>
      <c r="T213" s="42"/>
      <c r="U213" s="42"/>
      <c r="V213" s="42"/>
      <c r="W213" s="42"/>
      <c r="X213" s="42"/>
      <c r="Y213" s="42"/>
      <c r="Z213" s="42"/>
      <c r="AA213" s="42"/>
      <c r="AB213" s="42"/>
      <c r="AC213" s="42"/>
      <c r="AD213" s="42"/>
      <c r="AE213" s="42"/>
      <c r="AF213" s="42">
        <v>11</v>
      </c>
    </row>
    <row r="214" ht="11.55" customHeight="1" spans="1:32">
      <c r="A214" s="967"/>
      <c r="B214" s="42"/>
      <c r="K214" s="42"/>
      <c r="N214" s="42"/>
      <c r="O214" s="42"/>
      <c r="P214" s="42"/>
      <c r="Q214" s="42"/>
      <c r="S214" s="42"/>
      <c r="T214" s="42"/>
      <c r="U214" s="42"/>
      <c r="V214" s="42"/>
      <c r="W214" s="42"/>
      <c r="X214" s="42"/>
      <c r="Y214" s="42"/>
      <c r="Z214" s="42"/>
      <c r="AA214" s="42"/>
      <c r="AB214" s="42"/>
      <c r="AC214" s="42"/>
      <c r="AD214" s="42"/>
      <c r="AE214" s="42"/>
      <c r="AF214" s="42">
        <v>11</v>
      </c>
    </row>
    <row r="215" ht="11.55" customHeight="1" spans="1:32">
      <c r="A215" s="967"/>
      <c r="B215" s="42"/>
      <c r="K215" s="42"/>
      <c r="N215" s="42"/>
      <c r="O215" s="42"/>
      <c r="P215" s="42"/>
      <c r="Q215" s="42"/>
      <c r="S215" s="42"/>
      <c r="T215" s="42"/>
      <c r="U215" s="42"/>
      <c r="V215" s="42"/>
      <c r="W215" s="42"/>
      <c r="X215" s="42"/>
      <c r="Y215" s="42"/>
      <c r="Z215" s="42"/>
      <c r="AA215" s="42"/>
      <c r="AB215" s="42"/>
      <c r="AC215" s="42"/>
      <c r="AD215" s="42"/>
      <c r="AE215" s="42"/>
      <c r="AF215" s="42">
        <v>11</v>
      </c>
    </row>
    <row r="216" ht="11.55" customHeight="1" spans="1:32">
      <c r="A216" s="967"/>
      <c r="B216" s="42"/>
      <c r="K216" s="42"/>
      <c r="N216" s="42"/>
      <c r="O216" s="42"/>
      <c r="P216" s="42"/>
      <c r="Q216" s="42"/>
      <c r="S216" s="42"/>
      <c r="T216" s="42"/>
      <c r="U216" s="42"/>
      <c r="V216" s="42"/>
      <c r="W216" s="42"/>
      <c r="X216" s="42"/>
      <c r="Y216" s="42"/>
      <c r="Z216" s="42"/>
      <c r="AA216" s="42"/>
      <c r="AB216" s="42"/>
      <c r="AC216" s="42"/>
      <c r="AD216" s="42"/>
      <c r="AE216" s="42"/>
      <c r="AF216" s="42">
        <v>11</v>
      </c>
    </row>
    <row r="217" hidden="1" customHeight="1" spans="1:32">
      <c r="A217" s="946" t="s">
        <v>83</v>
      </c>
      <c r="B217" s="37">
        <v>0</v>
      </c>
      <c r="C217" s="43">
        <v>0</v>
      </c>
      <c r="D217" s="42">
        <v>3</v>
      </c>
      <c r="E217" s="42">
        <v>7</v>
      </c>
      <c r="F217" s="42">
        <v>56</v>
      </c>
      <c r="G217" s="42">
        <v>10</v>
      </c>
      <c r="H217" s="42">
        <v>0</v>
      </c>
      <c r="I217" s="42">
        <v>40</v>
      </c>
      <c r="J217" s="42">
        <v>102</v>
      </c>
      <c r="K217" s="37">
        <v>9</v>
      </c>
      <c r="L217" s="43">
        <v>5</v>
      </c>
      <c r="M217" s="43">
        <v>3</v>
      </c>
      <c r="N217" s="37">
        <v>3</v>
      </c>
      <c r="O217" s="37">
        <v>3</v>
      </c>
      <c r="P217" s="37">
        <v>3</v>
      </c>
      <c r="Q217" s="37">
        <v>3</v>
      </c>
      <c r="R217" s="43">
        <v>10</v>
      </c>
      <c r="S217" s="37">
        <v>34</v>
      </c>
      <c r="T217" s="37">
        <v>9</v>
      </c>
      <c r="U217" s="947">
        <v>8</v>
      </c>
      <c r="V217" s="37">
        <v>8</v>
      </c>
      <c r="W217" s="37">
        <v>8</v>
      </c>
      <c r="X217" s="37">
        <v>8</v>
      </c>
      <c r="Y217" s="37">
        <v>8</v>
      </c>
      <c r="Z217" s="37">
        <v>8</v>
      </c>
      <c r="AA217" s="572">
        <v>8</v>
      </c>
      <c r="AB217" s="572">
        <v>8</v>
      </c>
      <c r="AC217" s="572">
        <v>8</v>
      </c>
      <c r="AD217" s="572">
        <v>8</v>
      </c>
      <c r="AE217" s="572">
        <v>8</v>
      </c>
      <c r="AF217" s="42">
        <v>11</v>
      </c>
    </row>
  </sheetData>
  <sheetProtection formatColumns="0" formatRows="0" insertRows="0" deleteColumns="0" deleteRows="0" sort="0" autoFilter="0"/>
  <mergeCells count="7">
    <mergeCell ref="E6:I6"/>
    <mergeCell ref="E7:I7"/>
    <mergeCell ref="F10:G10"/>
    <mergeCell ref="F11:G11"/>
    <mergeCell ref="F12:G12"/>
    <mergeCell ref="E13:G13"/>
    <mergeCell ref="J10:J14"/>
  </mergeCells>
  <dataValidations count="5">
    <dataValidation type="decimal" operator="between" allowBlank="1" showErrorMessage="1" errorTitle="Ошибка" error="Допускается ввод только неотрицательных чисел!" sqref="H2:I2 H15:I15 H35:I35 H38:I39 H17:I32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operator="between" allowBlank="1" showErrorMessage="1" errorTitle="Ошибка" error="Допускается ввод только действительных чисел!" sqref="H40:I42">
      <formula1>-9.99999999999999E+37</formula1>
      <formula2>9.99999999999999E+37</formula2>
    </dataValidation>
    <dataValidation type="decimal" operator="between" allowBlank="1" showErrorMessage="1" errorTitle="Ошибка" error="Допускается ввод только действительных чисел!" sqref="H36:I37">
      <formula1>-9.99999999999999E+23</formula1>
      <formula2>9.99999999999999E+23</formula2>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F210"/>
  <sheetViews>
    <sheetView showGridLines="0" zoomScale="90" zoomScaleNormal="90" workbookViewId="0">
      <pane xSplit="8" ySplit="14" topLeftCell="I15" activePane="bottomRight" state="frozen"/>
      <selection/>
      <selection pane="topRight"/>
      <selection pane="bottomLeft"/>
      <selection pane="bottomRight" activeCell="A1" sqref="A1"/>
    </sheetView>
  </sheetViews>
  <sheetFormatPr defaultColWidth="9.14285714285714" defaultRowHeight="11.25" customHeight="1"/>
  <cols>
    <col min="1" max="1" width="10.7142857142857" style="946" hidden="1" customWidth="1"/>
    <col min="2" max="2" width="16.847619047619" style="37" hidden="1" customWidth="1"/>
    <col min="3" max="3" width="5.57142857142857" style="43" hidden="1" customWidth="1"/>
    <col min="4" max="4" width="3" style="42" customWidth="1"/>
    <col min="5" max="5" width="7" style="42" customWidth="1"/>
    <col min="6" max="6" width="54" style="42" customWidth="1"/>
    <col min="7" max="7" width="10" style="42" customWidth="1"/>
    <col min="8" max="8" width="40.7142857142857" style="42" hidden="1" customWidth="1"/>
    <col min="9" max="9" width="40" style="42" customWidth="1"/>
    <col min="10" max="10" width="102" style="42" customWidth="1"/>
    <col min="11" max="11" width="9" style="37" customWidth="1"/>
    <col min="12" max="12" width="5" style="43" customWidth="1"/>
    <col min="13" max="13" width="3" style="43" customWidth="1"/>
    <col min="14" max="17" width="3" style="37" customWidth="1"/>
    <col min="18" max="18" width="10" style="43" customWidth="1"/>
    <col min="19" max="19" width="34" style="37" customWidth="1"/>
    <col min="20" max="20" width="9" style="37" customWidth="1"/>
    <col min="21" max="21" width="8" style="947" customWidth="1"/>
    <col min="22" max="26" width="8" style="37" customWidth="1"/>
    <col min="27" max="31" width="8" style="572" customWidth="1"/>
    <col min="32" max="32" width="9.14285714285714" style="42" hidden="1"/>
  </cols>
  <sheetData>
    <row r="1" s="37" customFormat="1" ht="22.5" hidden="1" customHeight="1" spans="1:32">
      <c r="A1" s="946"/>
      <c r="C1" s="43"/>
      <c r="H1" s="37">
        <v>4</v>
      </c>
      <c r="I1" s="37">
        <v>4</v>
      </c>
      <c r="L1" s="43"/>
      <c r="M1" s="43"/>
      <c r="R1" s="43"/>
      <c r="AF1" s="37" t="s">
        <v>14</v>
      </c>
    </row>
    <row r="2" s="37" customFormat="1" ht="22.5" hidden="1" customHeight="1" spans="1:32">
      <c r="A2" s="946"/>
      <c r="C2" s="43"/>
      <c r="D2" s="824"/>
      <c r="E2" s="63"/>
      <c r="F2" s="218"/>
      <c r="G2" s="63" t="s">
        <v>562</v>
      </c>
      <c r="H2" s="101"/>
      <c r="I2" s="101"/>
      <c r="J2" s="964" t="s">
        <v>565</v>
      </c>
      <c r="K2" s="965"/>
      <c r="L2" s="43"/>
      <c r="M2" s="43"/>
      <c r="R2" s="43"/>
      <c r="U2" s="947"/>
      <c r="AA2" s="572"/>
      <c r="AB2" s="572"/>
      <c r="AC2" s="572"/>
      <c r="AD2" s="572"/>
      <c r="AE2" s="572"/>
      <c r="AF2" s="37">
        <v>0</v>
      </c>
    </row>
    <row r="3" hidden="1" customHeight="1" spans="32:32">
      <c r="AF3" s="42">
        <v>0</v>
      </c>
    </row>
    <row r="4" s="572" customFormat="1" hidden="1" customHeight="1" spans="1:32">
      <c r="A4" s="946"/>
      <c r="B4" s="37"/>
      <c r="C4" s="43"/>
      <c r="J4" s="572">
        <v>4</v>
      </c>
      <c r="K4" s="37"/>
      <c r="L4" s="43"/>
      <c r="M4" s="43"/>
      <c r="N4" s="37"/>
      <c r="O4" s="37"/>
      <c r="P4" s="37"/>
      <c r="Q4" s="37"/>
      <c r="R4" s="43"/>
      <c r="S4" s="37"/>
      <c r="T4" s="37"/>
      <c r="U4" s="947"/>
      <c r="V4" s="37"/>
      <c r="W4" s="37"/>
      <c r="X4" s="37"/>
      <c r="Y4" s="37"/>
      <c r="Z4" s="37"/>
      <c r="AF4" s="572">
        <v>0</v>
      </c>
    </row>
    <row r="5" ht="11.55" customHeight="1" spans="32:32">
      <c r="AF5" s="42">
        <v>11</v>
      </c>
    </row>
    <row r="6" ht="33.75" customHeight="1" spans="5:32">
      <c r="E6" s="750" t="s">
        <v>784</v>
      </c>
      <c r="F6" s="750"/>
      <c r="G6" s="750"/>
      <c r="H6" s="750"/>
      <c r="I6" s="750"/>
      <c r="J6" s="120"/>
      <c r="AF6" s="42">
        <v>32</v>
      </c>
    </row>
    <row r="7" ht="25.2" customHeight="1" spans="5:32">
      <c r="E7" s="657" t="str">
        <f>IF(org=0,"Не определено",org)</f>
        <v>АО "ОЭЗ ППТ "Алабуга"</v>
      </c>
      <c r="F7" s="657"/>
      <c r="G7" s="657"/>
      <c r="H7" s="657"/>
      <c r="I7" s="657"/>
      <c r="AF7" s="42">
        <v>24</v>
      </c>
    </row>
    <row r="8" ht="11.55" customHeight="1" spans="5:32">
      <c r="E8" s="889"/>
      <c r="F8" s="889"/>
      <c r="G8" s="889"/>
      <c r="H8" s="889"/>
      <c r="I8" s="889"/>
      <c r="AF8" s="42">
        <v>11</v>
      </c>
    </row>
    <row r="9" s="43" customFormat="1" ht="1.05" customHeight="1" spans="1:32">
      <c r="A9" s="306"/>
      <c r="H9" s="948"/>
      <c r="I9" s="948" t="s">
        <v>119</v>
      </c>
      <c r="AF9" s="43">
        <v>1</v>
      </c>
    </row>
    <row r="10" ht="11.55" customHeight="1" spans="5:32">
      <c r="E10" s="751"/>
      <c r="F10" s="752" t="s">
        <v>107</v>
      </c>
      <c r="G10" s="753"/>
      <c r="H10" s="912" t="str">
        <f>IF(H9="","",INDEX(DIFFERENTIATION_UNMERGE_VD,MATCH(H9,DIFFERENTIATION_ID_DIFF,0)))</f>
        <v/>
      </c>
      <c r="I10" s="912">
        <f>IF(I9="","",INDEX(DIFFERENTIATION_UNMERGE_VD,MATCH(I9,DIFFERENTIATION_ID_DIFF,0)))</f>
        <v>0</v>
      </c>
      <c r="J10" s="63"/>
      <c r="AF10" s="42">
        <v>11</v>
      </c>
    </row>
    <row r="11" ht="11.55" customHeight="1" spans="5:32">
      <c r="E11" s="751"/>
      <c r="F11" s="752" t="s">
        <v>574</v>
      </c>
      <c r="G11" s="753"/>
      <c r="H11" s="912" t="str">
        <f>IF(H9="","",INDEX(DIFFERENTIATION_UNMERGE_AREA,MATCH(H9,DIFFERENTIATION_ID_DIFF,0)))</f>
        <v/>
      </c>
      <c r="I11" s="912" t="str">
        <f>IF(I9="","",INDEX(DIFFERENTIATION_UNMERGE_AREA,MATCH(I9,DIFFERENTIATION_ID_DIFF,0)))</f>
        <v/>
      </c>
      <c r="J11" s="63"/>
      <c r="AF11" s="42">
        <v>11</v>
      </c>
    </row>
    <row r="12" hidden="1" customHeight="1" spans="5:32">
      <c r="E12" s="949"/>
      <c r="F12" s="950" t="s">
        <v>575</v>
      </c>
      <c r="G12" s="951"/>
      <c r="H12" s="952" t="str">
        <f>IF(H9="","",INDEX(DIFFERENTIATION_UNMERGE_SYSTEM,MATCH(H9,DIFFERENTIATION_ID_DIFF,0)))</f>
        <v/>
      </c>
      <c r="I12" s="952" t="str">
        <f>IF(I9="","",INDEX(DIFFERENTIATION_UNMERGE_SYSTEM,MATCH(I9,DIFFERENTIATION_ID_DIFF,0)))</f>
        <v>без дифференциации</v>
      </c>
      <c r="J12" s="63"/>
      <c r="AF12" s="42">
        <v>0</v>
      </c>
    </row>
    <row r="13" ht="11.55" customHeight="1" spans="5:32">
      <c r="E13" s="756" t="s">
        <v>305</v>
      </c>
      <c r="F13" s="757"/>
      <c r="G13" s="757"/>
      <c r="H13" s="752"/>
      <c r="I13" s="752"/>
      <c r="J13" s="63"/>
      <c r="AF13" s="42">
        <v>11</v>
      </c>
    </row>
    <row r="14" ht="24" customHeight="1" spans="5:32">
      <c r="E14" s="63" t="s">
        <v>89</v>
      </c>
      <c r="F14" s="63" t="s">
        <v>307</v>
      </c>
      <c r="G14" s="63" t="s">
        <v>576</v>
      </c>
      <c r="H14" s="63" t="s">
        <v>308</v>
      </c>
      <c r="I14" s="63" t="s">
        <v>308</v>
      </c>
      <c r="J14" s="63"/>
      <c r="AF14" s="42">
        <v>23</v>
      </c>
    </row>
    <row r="15" ht="19.95" customHeight="1" spans="4:32">
      <c r="D15" s="519"/>
      <c r="E15" s="953" t="s">
        <v>111</v>
      </c>
      <c r="F15" s="392" t="s">
        <v>785</v>
      </c>
      <c r="G15" s="63" t="s">
        <v>562</v>
      </c>
      <c r="H15" s="916"/>
      <c r="I15" s="916"/>
      <c r="J15" s="82" t="s">
        <v>786</v>
      </c>
      <c r="K15" s="965" t="s">
        <v>640</v>
      </c>
      <c r="AF15" s="42">
        <v>19</v>
      </c>
    </row>
    <row r="16" ht="24" customHeight="1" spans="4:32">
      <c r="D16" s="519"/>
      <c r="E16" s="953" t="s">
        <v>112</v>
      </c>
      <c r="F16" s="550" t="s">
        <v>787</v>
      </c>
      <c r="G16" s="63" t="s">
        <v>562</v>
      </c>
      <c r="H16" s="390">
        <f>SUM(H17,H20:H27)</f>
        <v>0</v>
      </c>
      <c r="I16" s="390">
        <f>SUM(I17,I20:I27)</f>
        <v>0</v>
      </c>
      <c r="J16" s="82" t="s">
        <v>788</v>
      </c>
      <c r="K16" s="965" t="s">
        <v>640</v>
      </c>
      <c r="AF16" s="42">
        <v>23</v>
      </c>
    </row>
    <row r="17" ht="35.7" customHeight="1" spans="4:32">
      <c r="D17" s="519"/>
      <c r="E17" s="954" t="s">
        <v>718</v>
      </c>
      <c r="F17" s="877" t="s">
        <v>789</v>
      </c>
      <c r="G17" s="126" t="s">
        <v>562</v>
      </c>
      <c r="H17" s="916"/>
      <c r="I17" s="916"/>
      <c r="J17" s="82" t="s">
        <v>790</v>
      </c>
      <c r="K17" s="965"/>
      <c r="AF17" s="42">
        <v>34</v>
      </c>
    </row>
    <row r="18" ht="19.95" customHeight="1" spans="4:32">
      <c r="D18" s="519"/>
      <c r="E18" s="954" t="s">
        <v>721</v>
      </c>
      <c r="F18" s="878" t="s">
        <v>791</v>
      </c>
      <c r="G18" s="126" t="s">
        <v>562</v>
      </c>
      <c r="H18" s="916"/>
      <c r="I18" s="916"/>
      <c r="J18" s="82"/>
      <c r="K18" s="965"/>
      <c r="AF18" s="42">
        <v>19</v>
      </c>
    </row>
    <row r="19" ht="24" customHeight="1" spans="4:32">
      <c r="D19" s="519"/>
      <c r="E19" s="954" t="s">
        <v>724</v>
      </c>
      <c r="F19" s="878" t="s">
        <v>792</v>
      </c>
      <c r="G19" s="126" t="s">
        <v>562</v>
      </c>
      <c r="H19" s="916"/>
      <c r="I19" s="916"/>
      <c r="J19" s="82"/>
      <c r="K19" s="965"/>
      <c r="AF19" s="42">
        <v>23</v>
      </c>
    </row>
    <row r="20" ht="35.7" customHeight="1" spans="4:32">
      <c r="D20" s="519"/>
      <c r="E20" s="954" t="s">
        <v>312</v>
      </c>
      <c r="F20" s="877" t="s">
        <v>793</v>
      </c>
      <c r="G20" s="126" t="s">
        <v>562</v>
      </c>
      <c r="H20" s="916"/>
      <c r="I20" s="916"/>
      <c r="J20" s="82"/>
      <c r="K20" s="965"/>
      <c r="AF20" s="42">
        <v>34</v>
      </c>
    </row>
    <row r="21" ht="48.3" customHeight="1" spans="4:32">
      <c r="D21" s="519"/>
      <c r="E21" s="954" t="s">
        <v>315</v>
      </c>
      <c r="F21" s="877" t="s">
        <v>794</v>
      </c>
      <c r="G21" s="126" t="s">
        <v>562</v>
      </c>
      <c r="H21" s="916"/>
      <c r="I21" s="916"/>
      <c r="J21" s="82"/>
      <c r="K21" s="965"/>
      <c r="AF21" s="42">
        <v>46</v>
      </c>
    </row>
    <row r="22" ht="60" customHeight="1" spans="4:32">
      <c r="D22" s="519"/>
      <c r="E22" s="954" t="s">
        <v>738</v>
      </c>
      <c r="F22" s="877" t="s">
        <v>795</v>
      </c>
      <c r="G22" s="126" t="s">
        <v>562</v>
      </c>
      <c r="H22" s="916"/>
      <c r="I22" s="916"/>
      <c r="J22" s="82"/>
      <c r="K22" s="965"/>
      <c r="AF22" s="42">
        <v>57</v>
      </c>
    </row>
    <row r="23" ht="35.7" customHeight="1" spans="4:32">
      <c r="D23" s="519"/>
      <c r="E23" s="954" t="s">
        <v>745</v>
      </c>
      <c r="F23" s="877" t="s">
        <v>796</v>
      </c>
      <c r="G23" s="126" t="s">
        <v>562</v>
      </c>
      <c r="H23" s="916"/>
      <c r="I23" s="916"/>
      <c r="J23" s="82"/>
      <c r="K23" s="965"/>
      <c r="AF23" s="42">
        <v>34</v>
      </c>
    </row>
    <row r="24" ht="35.7" customHeight="1" spans="4:32">
      <c r="D24" s="519"/>
      <c r="E24" s="954" t="s">
        <v>747</v>
      </c>
      <c r="F24" s="877" t="s">
        <v>797</v>
      </c>
      <c r="G24" s="126" t="s">
        <v>562</v>
      </c>
      <c r="H24" s="916"/>
      <c r="I24" s="916"/>
      <c r="J24" s="82"/>
      <c r="K24" s="965"/>
      <c r="AF24" s="42">
        <v>34</v>
      </c>
    </row>
    <row r="25" ht="24" customHeight="1" spans="4:32">
      <c r="D25" s="519"/>
      <c r="E25" s="954" t="s">
        <v>749</v>
      </c>
      <c r="F25" s="877" t="s">
        <v>798</v>
      </c>
      <c r="G25" s="126" t="s">
        <v>562</v>
      </c>
      <c r="H25" s="916"/>
      <c r="I25" s="916"/>
      <c r="J25" s="82"/>
      <c r="K25" s="965"/>
      <c r="AF25" s="42">
        <v>23</v>
      </c>
    </row>
    <row r="26" ht="76.5" customHeight="1" spans="4:32">
      <c r="D26" s="519"/>
      <c r="E26" s="954" t="s">
        <v>751</v>
      </c>
      <c r="F26" s="877" t="s">
        <v>799</v>
      </c>
      <c r="G26" s="126" t="s">
        <v>562</v>
      </c>
      <c r="H26" s="916"/>
      <c r="I26" s="916"/>
      <c r="J26" s="82"/>
      <c r="K26" s="965"/>
      <c r="AF26" s="42">
        <v>73</v>
      </c>
    </row>
    <row r="27" s="37" customFormat="1" ht="35.7" customHeight="1" spans="1:32">
      <c r="A27" s="946"/>
      <c r="C27" s="43"/>
      <c r="D27" s="519"/>
      <c r="E27" s="955" t="s">
        <v>755</v>
      </c>
      <c r="F27" s="655" t="s">
        <v>800</v>
      </c>
      <c r="G27" s="70" t="s">
        <v>562</v>
      </c>
      <c r="H27" s="956">
        <f>SUM(H28:H29)</f>
        <v>0</v>
      </c>
      <c r="I27" s="956">
        <f>SUM(I28:I29)</f>
        <v>0</v>
      </c>
      <c r="J27" s="82" t="s">
        <v>753</v>
      </c>
      <c r="K27" s="965"/>
      <c r="L27" s="43"/>
      <c r="M27" s="43"/>
      <c r="R27" s="43"/>
      <c r="U27" s="947"/>
      <c r="AA27" s="572"/>
      <c r="AB27" s="572"/>
      <c r="AC27" s="572"/>
      <c r="AD27" s="572"/>
      <c r="AE27" s="572"/>
      <c r="AF27" s="37">
        <v>34</v>
      </c>
    </row>
    <row r="28" s="43" customFormat="1" ht="1.05" customHeight="1" spans="1:32">
      <c r="A28" s="306"/>
      <c r="D28" s="306"/>
      <c r="E28" s="672" t="str">
        <f>E27&amp;".0"</f>
        <v>2.9.0</v>
      </c>
      <c r="F28" s="957"/>
      <c r="G28" s="672"/>
      <c r="H28" s="958"/>
      <c r="I28" s="958"/>
      <c r="J28" s="966"/>
      <c r="AF28" s="43">
        <v>1</v>
      </c>
    </row>
    <row r="29" s="37" customFormat="1" ht="19.95" customHeight="1" spans="1:32">
      <c r="A29" s="946"/>
      <c r="C29" s="43"/>
      <c r="D29" s="216"/>
      <c r="E29" s="959"/>
      <c r="F29" s="960" t="s">
        <v>587</v>
      </c>
      <c r="G29" s="401"/>
      <c r="H29" s="909"/>
      <c r="I29" s="909"/>
      <c r="J29" s="66" t="s">
        <v>754</v>
      </c>
      <c r="K29" s="965"/>
      <c r="L29" s="43"/>
      <c r="M29" s="43"/>
      <c r="R29" s="43"/>
      <c r="U29" s="947"/>
      <c r="AA29" s="572"/>
      <c r="AB29" s="572"/>
      <c r="AC29" s="572"/>
      <c r="AD29" s="572"/>
      <c r="AE29" s="572"/>
      <c r="AF29" s="37">
        <v>19</v>
      </c>
    </row>
    <row r="30" s="37" customFormat="1" ht="24" customHeight="1" spans="1:32">
      <c r="A30" s="946"/>
      <c r="C30" s="43"/>
      <c r="D30" s="519"/>
      <c r="E30" s="954" t="s">
        <v>91</v>
      </c>
      <c r="F30" s="876" t="s">
        <v>801</v>
      </c>
      <c r="G30" s="126" t="s">
        <v>562</v>
      </c>
      <c r="H30" s="916"/>
      <c r="I30" s="916"/>
      <c r="J30" s="82"/>
      <c r="K30" s="965"/>
      <c r="L30" s="43"/>
      <c r="M30" s="43"/>
      <c r="R30" s="43"/>
      <c r="U30" s="947"/>
      <c r="AA30" s="572"/>
      <c r="AB30" s="572"/>
      <c r="AC30" s="572"/>
      <c r="AD30" s="572"/>
      <c r="AE30" s="572"/>
      <c r="AF30" s="37">
        <v>23</v>
      </c>
    </row>
    <row r="31" s="37" customFormat="1" ht="35.7" customHeight="1" spans="1:32">
      <c r="A31" s="946"/>
      <c r="C31" s="43"/>
      <c r="D31" s="961"/>
      <c r="E31" s="954" t="s">
        <v>92</v>
      </c>
      <c r="F31" s="876" t="s">
        <v>802</v>
      </c>
      <c r="G31" s="126" t="s">
        <v>562</v>
      </c>
      <c r="H31" s="916"/>
      <c r="I31" s="916"/>
      <c r="J31" s="82" t="s">
        <v>803</v>
      </c>
      <c r="K31" s="965"/>
      <c r="L31" s="43"/>
      <c r="M31" s="43"/>
      <c r="R31" s="43"/>
      <c r="U31" s="947"/>
      <c r="AA31" s="572"/>
      <c r="AB31" s="572"/>
      <c r="AC31" s="572"/>
      <c r="AD31" s="572"/>
      <c r="AE31" s="572"/>
      <c r="AF31" s="37">
        <v>34</v>
      </c>
    </row>
    <row r="32" s="37" customFormat="1" ht="24" customHeight="1" spans="1:32">
      <c r="A32" s="946"/>
      <c r="C32" s="43"/>
      <c r="D32" s="519"/>
      <c r="E32" s="954" t="s">
        <v>763</v>
      </c>
      <c r="F32" s="877" t="s">
        <v>767</v>
      </c>
      <c r="G32" s="126" t="s">
        <v>562</v>
      </c>
      <c r="H32" s="916"/>
      <c r="I32" s="916"/>
      <c r="J32" s="82" t="s">
        <v>804</v>
      </c>
      <c r="K32" s="965"/>
      <c r="L32" s="43"/>
      <c r="M32" s="43"/>
      <c r="R32" s="43"/>
      <c r="U32" s="947"/>
      <c r="AA32" s="572"/>
      <c r="AB32" s="572"/>
      <c r="AC32" s="572"/>
      <c r="AD32" s="572"/>
      <c r="AE32" s="572"/>
      <c r="AF32" s="37">
        <v>23</v>
      </c>
    </row>
    <row r="33" s="37" customFormat="1" ht="24" customHeight="1" spans="1:32">
      <c r="A33" s="946"/>
      <c r="C33" s="43"/>
      <c r="D33" s="519"/>
      <c r="E33" s="954" t="s">
        <v>805</v>
      </c>
      <c r="F33" s="877" t="s">
        <v>806</v>
      </c>
      <c r="G33" s="126" t="s">
        <v>562</v>
      </c>
      <c r="H33" s="916"/>
      <c r="I33" s="916"/>
      <c r="J33" s="82" t="s">
        <v>807</v>
      </c>
      <c r="K33" s="965"/>
      <c r="L33" s="43"/>
      <c r="M33" s="43"/>
      <c r="R33" s="43"/>
      <c r="U33" s="947"/>
      <c r="AA33" s="572"/>
      <c r="AB33" s="572"/>
      <c r="AC33" s="572"/>
      <c r="AD33" s="572"/>
      <c r="AE33" s="572"/>
      <c r="AF33" s="37">
        <v>23</v>
      </c>
    </row>
    <row r="34" s="37" customFormat="1" ht="24" customHeight="1" spans="1:32">
      <c r="A34" s="946"/>
      <c r="C34" s="43"/>
      <c r="D34" s="519"/>
      <c r="E34" s="954" t="s">
        <v>808</v>
      </c>
      <c r="F34" s="877" t="s">
        <v>773</v>
      </c>
      <c r="G34" s="126" t="s">
        <v>562</v>
      </c>
      <c r="H34" s="916"/>
      <c r="I34" s="916"/>
      <c r="J34" s="82" t="s">
        <v>809</v>
      </c>
      <c r="K34" s="965"/>
      <c r="L34" s="43"/>
      <c r="M34" s="43"/>
      <c r="R34" s="43"/>
      <c r="U34" s="947"/>
      <c r="AA34" s="572"/>
      <c r="AB34" s="572"/>
      <c r="AC34" s="572"/>
      <c r="AD34" s="572"/>
      <c r="AE34" s="572"/>
      <c r="AF34" s="37">
        <v>23</v>
      </c>
    </row>
    <row r="35" s="37" customFormat="1" ht="35.7" customHeight="1" spans="1:32">
      <c r="A35" s="946"/>
      <c r="C35" s="43" t="s">
        <v>598</v>
      </c>
      <c r="D35" s="519"/>
      <c r="E35" s="954" t="s">
        <v>113</v>
      </c>
      <c r="F35" s="876" t="s">
        <v>639</v>
      </c>
      <c r="G35" s="63" t="s">
        <v>311</v>
      </c>
      <c r="H35" s="625"/>
      <c r="I35" s="625"/>
      <c r="J35" s="82" t="s">
        <v>810</v>
      </c>
      <c r="K35" s="965"/>
      <c r="L35" s="43"/>
      <c r="M35" s="43"/>
      <c r="R35" s="43"/>
      <c r="U35" s="947"/>
      <c r="AA35" s="572"/>
      <c r="AB35" s="572"/>
      <c r="AC35" s="572"/>
      <c r="AD35" s="572"/>
      <c r="AE35" s="572"/>
      <c r="AF35" s="37">
        <v>34</v>
      </c>
    </row>
    <row r="36" s="37" customFormat="1" ht="35.7" customHeight="1" spans="1:32">
      <c r="A36" s="946"/>
      <c r="C36" s="43"/>
      <c r="D36" s="519"/>
      <c r="E36" s="954" t="s">
        <v>93</v>
      </c>
      <c r="F36" s="876" t="s">
        <v>811</v>
      </c>
      <c r="G36" s="126" t="s">
        <v>778</v>
      </c>
      <c r="H36" s="962"/>
      <c r="I36" s="962"/>
      <c r="J36" s="82" t="s">
        <v>779</v>
      </c>
      <c r="K36" s="965"/>
      <c r="L36" s="43"/>
      <c r="M36" s="43"/>
      <c r="R36" s="43"/>
      <c r="U36" s="947"/>
      <c r="AA36" s="572"/>
      <c r="AB36" s="572"/>
      <c r="AC36" s="572"/>
      <c r="AD36" s="572"/>
      <c r="AE36" s="572"/>
      <c r="AF36" s="37">
        <v>34</v>
      </c>
    </row>
    <row r="37" s="37" customFormat="1" ht="24" customHeight="1" spans="1:32">
      <c r="A37" s="946"/>
      <c r="C37" s="43"/>
      <c r="D37" s="519"/>
      <c r="E37" s="954" t="s">
        <v>94</v>
      </c>
      <c r="F37" s="876" t="s">
        <v>812</v>
      </c>
      <c r="G37" s="126" t="s">
        <v>781</v>
      </c>
      <c r="H37" s="962"/>
      <c r="I37" s="962"/>
      <c r="J37" s="82" t="s">
        <v>782</v>
      </c>
      <c r="K37" s="965"/>
      <c r="L37" s="43"/>
      <c r="M37" s="43"/>
      <c r="R37" s="43"/>
      <c r="U37" s="947"/>
      <c r="AA37" s="572"/>
      <c r="AB37" s="572"/>
      <c r="AC37" s="572"/>
      <c r="AD37" s="572"/>
      <c r="AE37" s="572"/>
      <c r="AF37" s="37">
        <v>23</v>
      </c>
    </row>
    <row r="38" ht="11.55" customHeight="1" spans="4:32">
      <c r="D38" s="519"/>
      <c r="AF38" s="42">
        <v>11</v>
      </c>
    </row>
    <row r="39" ht="27.3" customHeight="1" spans="4:32">
      <c r="D39" s="519"/>
      <c r="E39" s="781" t="s">
        <v>813</v>
      </c>
      <c r="F39" s="119" t="s">
        <v>814</v>
      </c>
      <c r="G39" s="119"/>
      <c r="H39" s="784"/>
      <c r="I39" s="784"/>
      <c r="J39" s="784"/>
      <c r="AF39" s="42">
        <v>26</v>
      </c>
    </row>
    <row r="40" s="36" customFormat="1" ht="39.75" customHeight="1" spans="1:32">
      <c r="A40" s="946"/>
      <c r="B40" s="43"/>
      <c r="C40" s="43"/>
      <c r="F40" s="119" t="s">
        <v>815</v>
      </c>
      <c r="G40" s="119"/>
      <c r="H40" s="784"/>
      <c r="I40" s="784"/>
      <c r="J40" s="784"/>
      <c r="K40" s="37"/>
      <c r="L40" s="43"/>
      <c r="M40" s="43"/>
      <c r="N40" s="37"/>
      <c r="O40" s="37"/>
      <c r="P40" s="37"/>
      <c r="Q40" s="37"/>
      <c r="R40" s="43"/>
      <c r="S40" s="37"/>
      <c r="T40" s="37"/>
      <c r="U40" s="947"/>
      <c r="V40" s="37"/>
      <c r="W40" s="37"/>
      <c r="X40" s="37"/>
      <c r="Y40" s="37"/>
      <c r="Z40" s="37"/>
      <c r="AA40" s="572"/>
      <c r="AB40" s="963"/>
      <c r="AC40" s="963"/>
      <c r="AD40" s="963"/>
      <c r="AE40" s="963"/>
      <c r="AF40" s="36">
        <v>38</v>
      </c>
    </row>
    <row r="41" s="36" customFormat="1" ht="11.55" customHeight="1" spans="1:32">
      <c r="A41" s="946"/>
      <c r="B41" s="43"/>
      <c r="C41" s="43"/>
      <c r="K41" s="37"/>
      <c r="L41" s="43"/>
      <c r="M41" s="43"/>
      <c r="N41" s="37"/>
      <c r="O41" s="37"/>
      <c r="P41" s="37"/>
      <c r="Q41" s="37"/>
      <c r="R41" s="43"/>
      <c r="S41" s="37"/>
      <c r="T41" s="37"/>
      <c r="U41" s="947"/>
      <c r="V41" s="37"/>
      <c r="W41" s="37"/>
      <c r="X41" s="37"/>
      <c r="Y41" s="37"/>
      <c r="Z41" s="37"/>
      <c r="AA41" s="572"/>
      <c r="AB41" s="963"/>
      <c r="AC41" s="963"/>
      <c r="AD41" s="963"/>
      <c r="AE41" s="963"/>
      <c r="AF41" s="36">
        <v>11</v>
      </c>
    </row>
    <row r="42" s="36" customFormat="1" ht="11.55" customHeight="1" spans="1:32">
      <c r="A42" s="946"/>
      <c r="B42" s="43"/>
      <c r="C42" s="43"/>
      <c r="K42" s="37"/>
      <c r="L42" s="43"/>
      <c r="M42" s="43"/>
      <c r="N42" s="37"/>
      <c r="O42" s="37"/>
      <c r="P42" s="37"/>
      <c r="Q42" s="37"/>
      <c r="R42" s="43"/>
      <c r="S42" s="37"/>
      <c r="T42" s="37"/>
      <c r="U42" s="947"/>
      <c r="V42" s="37"/>
      <c r="W42" s="37"/>
      <c r="X42" s="37"/>
      <c r="Y42" s="37"/>
      <c r="Z42" s="37"/>
      <c r="AA42" s="572"/>
      <c r="AB42" s="963"/>
      <c r="AC42" s="963"/>
      <c r="AD42" s="963"/>
      <c r="AE42" s="963"/>
      <c r="AF42" s="36">
        <v>11</v>
      </c>
    </row>
    <row r="43" s="36" customFormat="1" ht="11.55" customHeight="1" spans="1:32">
      <c r="A43" s="946"/>
      <c r="B43" s="43"/>
      <c r="C43" s="43"/>
      <c r="H43" s="963"/>
      <c r="I43" s="963"/>
      <c r="K43" s="37"/>
      <c r="L43" s="43"/>
      <c r="M43" s="43"/>
      <c r="N43" s="37"/>
      <c r="O43" s="37"/>
      <c r="P43" s="37"/>
      <c r="Q43" s="37"/>
      <c r="R43" s="43"/>
      <c r="S43" s="37"/>
      <c r="T43" s="37"/>
      <c r="U43" s="947"/>
      <c r="V43" s="37"/>
      <c r="W43" s="37"/>
      <c r="X43" s="37"/>
      <c r="Y43" s="37"/>
      <c r="Z43" s="37"/>
      <c r="AA43" s="572"/>
      <c r="AB43" s="963"/>
      <c r="AC43" s="963"/>
      <c r="AD43" s="963"/>
      <c r="AE43" s="963"/>
      <c r="AF43" s="36">
        <v>11</v>
      </c>
    </row>
    <row r="44" s="36" customFormat="1" ht="11.55" customHeight="1" spans="1:32">
      <c r="A44" s="946"/>
      <c r="B44" s="43"/>
      <c r="C44" s="43"/>
      <c r="K44" s="37"/>
      <c r="L44" s="43"/>
      <c r="M44" s="43"/>
      <c r="N44" s="37"/>
      <c r="O44" s="37"/>
      <c r="P44" s="37"/>
      <c r="Q44" s="37"/>
      <c r="R44" s="43"/>
      <c r="S44" s="37"/>
      <c r="T44" s="37"/>
      <c r="U44" s="947"/>
      <c r="V44" s="37"/>
      <c r="W44" s="37"/>
      <c r="X44" s="37"/>
      <c r="Y44" s="37"/>
      <c r="Z44" s="37"/>
      <c r="AA44" s="572"/>
      <c r="AB44" s="963"/>
      <c r="AC44" s="963"/>
      <c r="AD44" s="963"/>
      <c r="AE44" s="963"/>
      <c r="AF44" s="36">
        <v>11</v>
      </c>
    </row>
    <row r="45" s="36" customFormat="1" ht="11.55" customHeight="1" spans="1:32">
      <c r="A45" s="946"/>
      <c r="B45" s="43"/>
      <c r="C45" s="43"/>
      <c r="K45" s="37"/>
      <c r="L45" s="43"/>
      <c r="M45" s="43"/>
      <c r="N45" s="37"/>
      <c r="O45" s="37"/>
      <c r="P45" s="37"/>
      <c r="Q45" s="37"/>
      <c r="R45" s="43"/>
      <c r="S45" s="37"/>
      <c r="T45" s="37"/>
      <c r="U45" s="947"/>
      <c r="V45" s="37"/>
      <c r="W45" s="37"/>
      <c r="X45" s="37"/>
      <c r="Y45" s="37"/>
      <c r="Z45" s="37"/>
      <c r="AA45" s="572"/>
      <c r="AB45" s="963"/>
      <c r="AC45" s="963"/>
      <c r="AD45" s="963"/>
      <c r="AE45" s="963"/>
      <c r="AF45" s="36">
        <v>11</v>
      </c>
    </row>
    <row r="46" s="36" customFormat="1" ht="11.55" customHeight="1" spans="1:32">
      <c r="A46" s="946"/>
      <c r="B46" s="43"/>
      <c r="C46" s="43"/>
      <c r="K46" s="37"/>
      <c r="L46" s="43"/>
      <c r="M46" s="43"/>
      <c r="N46" s="37"/>
      <c r="O46" s="37"/>
      <c r="P46" s="37"/>
      <c r="Q46" s="37"/>
      <c r="R46" s="43"/>
      <c r="S46" s="37"/>
      <c r="T46" s="37"/>
      <c r="U46" s="947"/>
      <c r="V46" s="37"/>
      <c r="W46" s="37"/>
      <c r="X46" s="37"/>
      <c r="Y46" s="37"/>
      <c r="Z46" s="37"/>
      <c r="AA46" s="572"/>
      <c r="AB46" s="963"/>
      <c r="AC46" s="963"/>
      <c r="AD46" s="963"/>
      <c r="AE46" s="963"/>
      <c r="AF46" s="36">
        <v>11</v>
      </c>
    </row>
    <row r="47" s="36" customFormat="1" ht="11.55" customHeight="1" spans="1:32">
      <c r="A47" s="946"/>
      <c r="B47" s="43"/>
      <c r="C47" s="43"/>
      <c r="K47" s="37"/>
      <c r="L47" s="43"/>
      <c r="M47" s="43"/>
      <c r="N47" s="37"/>
      <c r="O47" s="37"/>
      <c r="P47" s="37"/>
      <c r="Q47" s="37"/>
      <c r="R47" s="43"/>
      <c r="S47" s="37"/>
      <c r="T47" s="37"/>
      <c r="U47" s="947"/>
      <c r="V47" s="37"/>
      <c r="W47" s="37"/>
      <c r="X47" s="37"/>
      <c r="Y47" s="37"/>
      <c r="Z47" s="37"/>
      <c r="AA47" s="572"/>
      <c r="AB47" s="963"/>
      <c r="AC47" s="963"/>
      <c r="AD47" s="963"/>
      <c r="AE47" s="963"/>
      <c r="AF47" s="36">
        <v>11</v>
      </c>
    </row>
    <row r="48" s="36" customFormat="1" ht="11.55" customHeight="1" spans="1:32">
      <c r="A48" s="946"/>
      <c r="B48" s="43"/>
      <c r="C48" s="43"/>
      <c r="K48" s="37"/>
      <c r="L48" s="43"/>
      <c r="M48" s="43"/>
      <c r="N48" s="37"/>
      <c r="O48" s="37"/>
      <c r="P48" s="37"/>
      <c r="Q48" s="37"/>
      <c r="R48" s="43"/>
      <c r="S48" s="37"/>
      <c r="T48" s="37"/>
      <c r="U48" s="947"/>
      <c r="V48" s="37"/>
      <c r="W48" s="37"/>
      <c r="X48" s="37"/>
      <c r="Y48" s="37"/>
      <c r="Z48" s="37"/>
      <c r="AA48" s="572"/>
      <c r="AB48" s="963"/>
      <c r="AC48" s="963"/>
      <c r="AD48" s="963"/>
      <c r="AE48" s="963"/>
      <c r="AF48" s="36">
        <v>11</v>
      </c>
    </row>
    <row r="49" s="36" customFormat="1" ht="11.55" customHeight="1" spans="1:32">
      <c r="A49" s="946"/>
      <c r="B49" s="43"/>
      <c r="C49" s="43"/>
      <c r="K49" s="37"/>
      <c r="L49" s="43"/>
      <c r="M49" s="43"/>
      <c r="N49" s="37"/>
      <c r="O49" s="37"/>
      <c r="P49" s="37"/>
      <c r="Q49" s="37"/>
      <c r="R49" s="43"/>
      <c r="S49" s="37"/>
      <c r="T49" s="37"/>
      <c r="U49" s="947"/>
      <c r="V49" s="37"/>
      <c r="W49" s="37"/>
      <c r="X49" s="37"/>
      <c r="Y49" s="37"/>
      <c r="Z49" s="37"/>
      <c r="AA49" s="572"/>
      <c r="AB49" s="963"/>
      <c r="AC49" s="963"/>
      <c r="AD49" s="963"/>
      <c r="AE49" s="963"/>
      <c r="AF49" s="36">
        <v>11</v>
      </c>
    </row>
    <row r="50" s="36" customFormat="1" ht="11.55" customHeight="1" spans="1:32">
      <c r="A50" s="946"/>
      <c r="B50" s="43"/>
      <c r="C50" s="43"/>
      <c r="K50" s="37"/>
      <c r="L50" s="43"/>
      <c r="M50" s="43"/>
      <c r="N50" s="37"/>
      <c r="O50" s="37"/>
      <c r="P50" s="37"/>
      <c r="Q50" s="37"/>
      <c r="R50" s="43"/>
      <c r="S50" s="37"/>
      <c r="T50" s="37"/>
      <c r="U50" s="947"/>
      <c r="V50" s="37"/>
      <c r="W50" s="37"/>
      <c r="X50" s="37"/>
      <c r="Y50" s="37"/>
      <c r="Z50" s="37"/>
      <c r="AA50" s="572"/>
      <c r="AB50" s="963"/>
      <c r="AC50" s="963"/>
      <c r="AD50" s="963"/>
      <c r="AE50" s="963"/>
      <c r="AF50" s="36">
        <v>11</v>
      </c>
    </row>
    <row r="51" s="36" customFormat="1" ht="11.55" customHeight="1" spans="1:32">
      <c r="A51" s="946"/>
      <c r="B51" s="43"/>
      <c r="C51" s="43"/>
      <c r="K51" s="37"/>
      <c r="L51" s="43"/>
      <c r="M51" s="43"/>
      <c r="N51" s="37"/>
      <c r="O51" s="37"/>
      <c r="P51" s="37"/>
      <c r="Q51" s="37"/>
      <c r="R51" s="43"/>
      <c r="S51" s="37"/>
      <c r="T51" s="37"/>
      <c r="U51" s="947"/>
      <c r="V51" s="37"/>
      <c r="W51" s="37"/>
      <c r="X51" s="37"/>
      <c r="Y51" s="37"/>
      <c r="Z51" s="37"/>
      <c r="AA51" s="572"/>
      <c r="AB51" s="963"/>
      <c r="AC51" s="963"/>
      <c r="AD51" s="963"/>
      <c r="AE51" s="963"/>
      <c r="AF51" s="36">
        <v>11</v>
      </c>
    </row>
    <row r="52" s="36" customFormat="1" ht="11.55" customHeight="1" spans="1:32">
      <c r="A52" s="946"/>
      <c r="B52" s="43"/>
      <c r="C52" s="43"/>
      <c r="K52" s="37"/>
      <c r="L52" s="43"/>
      <c r="M52" s="43"/>
      <c r="N52" s="37"/>
      <c r="O52" s="37"/>
      <c r="P52" s="37"/>
      <c r="Q52" s="37"/>
      <c r="R52" s="43"/>
      <c r="S52" s="37"/>
      <c r="T52" s="37"/>
      <c r="U52" s="947"/>
      <c r="V52" s="37"/>
      <c r="W52" s="37"/>
      <c r="X52" s="37"/>
      <c r="Y52" s="37"/>
      <c r="Z52" s="37"/>
      <c r="AA52" s="572"/>
      <c r="AB52" s="963"/>
      <c r="AC52" s="963"/>
      <c r="AD52" s="963"/>
      <c r="AE52" s="963"/>
      <c r="AF52" s="36">
        <v>11</v>
      </c>
    </row>
    <row r="53" s="36" customFormat="1" ht="11.55" customHeight="1" spans="1:32">
      <c r="A53" s="946"/>
      <c r="B53" s="43"/>
      <c r="C53" s="43"/>
      <c r="K53" s="37"/>
      <c r="L53" s="43"/>
      <c r="M53" s="43"/>
      <c r="N53" s="37"/>
      <c r="O53" s="37"/>
      <c r="P53" s="37"/>
      <c r="Q53" s="37"/>
      <c r="R53" s="43"/>
      <c r="S53" s="37"/>
      <c r="T53" s="37"/>
      <c r="U53" s="947"/>
      <c r="V53" s="37"/>
      <c r="W53" s="37"/>
      <c r="X53" s="37"/>
      <c r="Y53" s="37"/>
      <c r="Z53" s="37"/>
      <c r="AA53" s="572"/>
      <c r="AB53" s="963"/>
      <c r="AC53" s="963"/>
      <c r="AD53" s="963"/>
      <c r="AE53" s="963"/>
      <c r="AF53" s="36">
        <v>11</v>
      </c>
    </row>
    <row r="54" s="36" customFormat="1" ht="11.55" customHeight="1" spans="1:32">
      <c r="A54" s="946"/>
      <c r="B54" s="43"/>
      <c r="C54" s="43"/>
      <c r="K54" s="37"/>
      <c r="L54" s="43"/>
      <c r="M54" s="43"/>
      <c r="N54" s="37"/>
      <c r="O54" s="37"/>
      <c r="P54" s="37"/>
      <c r="Q54" s="37"/>
      <c r="R54" s="43"/>
      <c r="S54" s="37"/>
      <c r="T54" s="37"/>
      <c r="U54" s="947"/>
      <c r="V54" s="37"/>
      <c r="W54" s="37"/>
      <c r="X54" s="37"/>
      <c r="Y54" s="37"/>
      <c r="Z54" s="37"/>
      <c r="AA54" s="572"/>
      <c r="AB54" s="963"/>
      <c r="AC54" s="963"/>
      <c r="AD54" s="963"/>
      <c r="AE54" s="963"/>
      <c r="AF54" s="36">
        <v>11</v>
      </c>
    </row>
    <row r="55" s="36" customFormat="1" ht="11.55" customHeight="1" spans="1:32">
      <c r="A55" s="946"/>
      <c r="B55" s="43"/>
      <c r="C55" s="43"/>
      <c r="K55" s="37"/>
      <c r="L55" s="43"/>
      <c r="M55" s="43"/>
      <c r="N55" s="37"/>
      <c r="O55" s="37"/>
      <c r="P55" s="37"/>
      <c r="Q55" s="37"/>
      <c r="R55" s="43"/>
      <c r="S55" s="37"/>
      <c r="T55" s="37"/>
      <c r="U55" s="947"/>
      <c r="V55" s="37"/>
      <c r="W55" s="37"/>
      <c r="X55" s="37"/>
      <c r="Y55" s="37"/>
      <c r="Z55" s="37"/>
      <c r="AA55" s="572"/>
      <c r="AB55" s="963"/>
      <c r="AC55" s="963"/>
      <c r="AD55" s="963"/>
      <c r="AE55" s="963"/>
      <c r="AF55" s="36">
        <v>11</v>
      </c>
    </row>
    <row r="56" s="36" customFormat="1" ht="11.55" customHeight="1" spans="1:32">
      <c r="A56" s="946"/>
      <c r="B56" s="43"/>
      <c r="C56" s="43"/>
      <c r="K56" s="37"/>
      <c r="L56" s="43"/>
      <c r="M56" s="43"/>
      <c r="N56" s="37"/>
      <c r="O56" s="37"/>
      <c r="P56" s="37"/>
      <c r="Q56" s="37"/>
      <c r="R56" s="43"/>
      <c r="S56" s="37"/>
      <c r="T56" s="37"/>
      <c r="U56" s="947"/>
      <c r="V56" s="37"/>
      <c r="W56" s="37"/>
      <c r="X56" s="37"/>
      <c r="Y56" s="37"/>
      <c r="Z56" s="37"/>
      <c r="AA56" s="572"/>
      <c r="AB56" s="963"/>
      <c r="AC56" s="963"/>
      <c r="AD56" s="963"/>
      <c r="AE56" s="963"/>
      <c r="AF56" s="36">
        <v>11</v>
      </c>
    </row>
    <row r="57" s="36" customFormat="1" ht="11.55" customHeight="1" spans="1:32">
      <c r="A57" s="946"/>
      <c r="B57" s="43"/>
      <c r="C57" s="43"/>
      <c r="K57" s="37"/>
      <c r="L57" s="43"/>
      <c r="M57" s="43"/>
      <c r="N57" s="37"/>
      <c r="O57" s="37"/>
      <c r="P57" s="37"/>
      <c r="Q57" s="37"/>
      <c r="R57" s="43"/>
      <c r="S57" s="37"/>
      <c r="T57" s="37"/>
      <c r="U57" s="947"/>
      <c r="V57" s="37"/>
      <c r="W57" s="37"/>
      <c r="X57" s="37"/>
      <c r="Y57" s="37"/>
      <c r="Z57" s="37"/>
      <c r="AA57" s="572"/>
      <c r="AB57" s="963"/>
      <c r="AC57" s="963"/>
      <c r="AD57" s="963"/>
      <c r="AE57" s="963"/>
      <c r="AF57" s="36">
        <v>11</v>
      </c>
    </row>
    <row r="58" s="36" customFormat="1" ht="11.55" customHeight="1" spans="1:32">
      <c r="A58" s="946"/>
      <c r="B58" s="43"/>
      <c r="C58" s="43"/>
      <c r="K58" s="37"/>
      <c r="L58" s="43"/>
      <c r="M58" s="43"/>
      <c r="N58" s="37"/>
      <c r="O58" s="37"/>
      <c r="P58" s="37"/>
      <c r="Q58" s="37"/>
      <c r="R58" s="43"/>
      <c r="S58" s="37"/>
      <c r="T58" s="37"/>
      <c r="U58" s="947"/>
      <c r="V58" s="37"/>
      <c r="W58" s="37"/>
      <c r="X58" s="37"/>
      <c r="Y58" s="37"/>
      <c r="Z58" s="37"/>
      <c r="AA58" s="572"/>
      <c r="AB58" s="963"/>
      <c r="AC58" s="963"/>
      <c r="AD58" s="963"/>
      <c r="AE58" s="963"/>
      <c r="AF58" s="36">
        <v>11</v>
      </c>
    </row>
    <row r="59" s="36" customFormat="1" ht="11.55" customHeight="1" spans="1:32">
      <c r="A59" s="946"/>
      <c r="B59" s="43"/>
      <c r="C59" s="43"/>
      <c r="K59" s="37"/>
      <c r="L59" s="43"/>
      <c r="M59" s="43"/>
      <c r="N59" s="37"/>
      <c r="O59" s="37"/>
      <c r="P59" s="37"/>
      <c r="Q59" s="37"/>
      <c r="R59" s="43"/>
      <c r="S59" s="37"/>
      <c r="T59" s="37"/>
      <c r="U59" s="947"/>
      <c r="V59" s="37"/>
      <c r="W59" s="37"/>
      <c r="X59" s="37"/>
      <c r="Y59" s="37"/>
      <c r="Z59" s="37"/>
      <c r="AA59" s="572"/>
      <c r="AB59" s="963"/>
      <c r="AC59" s="963"/>
      <c r="AD59" s="963"/>
      <c r="AE59" s="963"/>
      <c r="AF59" s="36">
        <v>11</v>
      </c>
    </row>
    <row r="60" s="36" customFormat="1" ht="11.55" customHeight="1" spans="1:32">
      <c r="A60" s="946"/>
      <c r="B60" s="43"/>
      <c r="C60" s="43"/>
      <c r="K60" s="37"/>
      <c r="L60" s="43"/>
      <c r="M60" s="43"/>
      <c r="N60" s="37"/>
      <c r="O60" s="37"/>
      <c r="P60" s="37"/>
      <c r="Q60" s="37"/>
      <c r="R60" s="43"/>
      <c r="S60" s="37"/>
      <c r="T60" s="37"/>
      <c r="U60" s="947"/>
      <c r="V60" s="37"/>
      <c r="W60" s="37"/>
      <c r="X60" s="37"/>
      <c r="Y60" s="37"/>
      <c r="Z60" s="37"/>
      <c r="AA60" s="572"/>
      <c r="AB60" s="963"/>
      <c r="AC60" s="963"/>
      <c r="AD60" s="963"/>
      <c r="AE60" s="963"/>
      <c r="AF60" s="36">
        <v>11</v>
      </c>
    </row>
    <row r="61" s="36" customFormat="1" ht="11.55" customHeight="1" spans="1:32">
      <c r="A61" s="946"/>
      <c r="B61" s="43"/>
      <c r="C61" s="43"/>
      <c r="K61" s="37"/>
      <c r="L61" s="43"/>
      <c r="M61" s="43"/>
      <c r="N61" s="37"/>
      <c r="O61" s="37"/>
      <c r="P61" s="37"/>
      <c r="Q61" s="37"/>
      <c r="R61" s="43"/>
      <c r="S61" s="37"/>
      <c r="T61" s="37"/>
      <c r="U61" s="947"/>
      <c r="V61" s="37"/>
      <c r="W61" s="37"/>
      <c r="X61" s="37"/>
      <c r="Y61" s="37"/>
      <c r="Z61" s="37"/>
      <c r="AA61" s="572"/>
      <c r="AB61" s="963"/>
      <c r="AC61" s="963"/>
      <c r="AD61" s="963"/>
      <c r="AE61" s="963"/>
      <c r="AF61" s="36">
        <v>11</v>
      </c>
    </row>
    <row r="62" s="36" customFormat="1" ht="11.55" customHeight="1" spans="1:32">
      <c r="A62" s="946"/>
      <c r="B62" s="43"/>
      <c r="C62" s="43"/>
      <c r="K62" s="37"/>
      <c r="L62" s="43"/>
      <c r="M62" s="43"/>
      <c r="N62" s="37"/>
      <c r="O62" s="37"/>
      <c r="P62" s="37"/>
      <c r="Q62" s="37"/>
      <c r="R62" s="43"/>
      <c r="S62" s="37"/>
      <c r="T62" s="37"/>
      <c r="U62" s="947"/>
      <c r="V62" s="37"/>
      <c r="W62" s="37"/>
      <c r="X62" s="37"/>
      <c r="Y62" s="37"/>
      <c r="Z62" s="37"/>
      <c r="AA62" s="572"/>
      <c r="AB62" s="963"/>
      <c r="AC62" s="963"/>
      <c r="AD62" s="963"/>
      <c r="AE62" s="963"/>
      <c r="AF62" s="36">
        <v>11</v>
      </c>
    </row>
    <row r="63" s="36" customFormat="1" ht="11.55" customHeight="1" spans="1:32">
      <c r="A63" s="946"/>
      <c r="B63" s="43"/>
      <c r="C63" s="43"/>
      <c r="K63" s="37"/>
      <c r="L63" s="43"/>
      <c r="M63" s="43"/>
      <c r="N63" s="37"/>
      <c r="O63" s="37"/>
      <c r="P63" s="37"/>
      <c r="Q63" s="37"/>
      <c r="R63" s="43"/>
      <c r="S63" s="37"/>
      <c r="T63" s="37"/>
      <c r="U63" s="947"/>
      <c r="V63" s="37"/>
      <c r="W63" s="37"/>
      <c r="X63" s="37"/>
      <c r="Y63" s="37"/>
      <c r="Z63" s="37"/>
      <c r="AA63" s="572"/>
      <c r="AB63" s="963"/>
      <c r="AC63" s="963"/>
      <c r="AD63" s="963"/>
      <c r="AE63" s="963"/>
      <c r="AF63" s="36">
        <v>11</v>
      </c>
    </row>
    <row r="64" s="36" customFormat="1" ht="11.55" customHeight="1" spans="1:32">
      <c r="A64" s="946"/>
      <c r="B64" s="43"/>
      <c r="C64" s="43"/>
      <c r="K64" s="37"/>
      <c r="L64" s="43"/>
      <c r="M64" s="43"/>
      <c r="N64" s="37"/>
      <c r="O64" s="37"/>
      <c r="P64" s="37"/>
      <c r="Q64" s="37"/>
      <c r="R64" s="43"/>
      <c r="S64" s="37"/>
      <c r="T64" s="37"/>
      <c r="U64" s="947"/>
      <c r="V64" s="37"/>
      <c r="W64" s="37"/>
      <c r="X64" s="37"/>
      <c r="Y64" s="37"/>
      <c r="Z64" s="37"/>
      <c r="AA64" s="572"/>
      <c r="AB64" s="963"/>
      <c r="AC64" s="963"/>
      <c r="AD64" s="963"/>
      <c r="AE64" s="963"/>
      <c r="AF64" s="36">
        <v>11</v>
      </c>
    </row>
    <row r="65" s="36" customFormat="1" ht="11.55" customHeight="1" spans="1:32">
      <c r="A65" s="946"/>
      <c r="B65" s="43"/>
      <c r="C65" s="43"/>
      <c r="K65" s="37"/>
      <c r="L65" s="43"/>
      <c r="M65" s="43"/>
      <c r="N65" s="37"/>
      <c r="O65" s="37"/>
      <c r="P65" s="37"/>
      <c r="Q65" s="37"/>
      <c r="R65" s="43"/>
      <c r="S65" s="37"/>
      <c r="T65" s="37"/>
      <c r="U65" s="947"/>
      <c r="V65" s="37"/>
      <c r="W65" s="37"/>
      <c r="X65" s="37"/>
      <c r="Y65" s="37"/>
      <c r="Z65" s="37"/>
      <c r="AA65" s="572"/>
      <c r="AB65" s="963"/>
      <c r="AC65" s="963"/>
      <c r="AD65" s="963"/>
      <c r="AE65" s="963"/>
      <c r="AF65" s="36">
        <v>11</v>
      </c>
    </row>
    <row r="66" s="36" customFormat="1" ht="11.55" customHeight="1" spans="1:32">
      <c r="A66" s="946"/>
      <c r="B66" s="43"/>
      <c r="C66" s="43"/>
      <c r="K66" s="37"/>
      <c r="L66" s="43"/>
      <c r="M66" s="43"/>
      <c r="N66" s="37"/>
      <c r="O66" s="37"/>
      <c r="P66" s="37"/>
      <c r="Q66" s="37"/>
      <c r="R66" s="43"/>
      <c r="S66" s="37"/>
      <c r="T66" s="37"/>
      <c r="U66" s="947"/>
      <c r="V66" s="37"/>
      <c r="W66" s="37"/>
      <c r="X66" s="37"/>
      <c r="Y66" s="37"/>
      <c r="Z66" s="37"/>
      <c r="AA66" s="572"/>
      <c r="AB66" s="963"/>
      <c r="AC66" s="963"/>
      <c r="AD66" s="963"/>
      <c r="AE66" s="963"/>
      <c r="AF66" s="36">
        <v>11</v>
      </c>
    </row>
    <row r="67" s="36" customFormat="1" ht="11.55" customHeight="1" spans="1:32">
      <c r="A67" s="946"/>
      <c r="B67" s="43"/>
      <c r="C67" s="43"/>
      <c r="K67" s="37"/>
      <c r="L67" s="43"/>
      <c r="M67" s="43"/>
      <c r="N67" s="37"/>
      <c r="O67" s="37"/>
      <c r="P67" s="37"/>
      <c r="Q67" s="37"/>
      <c r="R67" s="43"/>
      <c r="S67" s="37"/>
      <c r="T67" s="37"/>
      <c r="U67" s="947"/>
      <c r="V67" s="37"/>
      <c r="W67" s="37"/>
      <c r="X67" s="37"/>
      <c r="Y67" s="37"/>
      <c r="Z67" s="37"/>
      <c r="AA67" s="572"/>
      <c r="AB67" s="963"/>
      <c r="AC67" s="963"/>
      <c r="AD67" s="963"/>
      <c r="AE67" s="963"/>
      <c r="AF67" s="36">
        <v>11</v>
      </c>
    </row>
    <row r="68" s="36" customFormat="1" ht="11.55" customHeight="1" spans="1:32">
      <c r="A68" s="946"/>
      <c r="B68" s="43"/>
      <c r="C68" s="43"/>
      <c r="K68" s="37"/>
      <c r="L68" s="43"/>
      <c r="M68" s="43"/>
      <c r="N68" s="37"/>
      <c r="O68" s="37"/>
      <c r="P68" s="37"/>
      <c r="Q68" s="37"/>
      <c r="R68" s="43"/>
      <c r="S68" s="37"/>
      <c r="T68" s="37"/>
      <c r="U68" s="947"/>
      <c r="V68" s="37"/>
      <c r="W68" s="37"/>
      <c r="X68" s="37"/>
      <c r="Y68" s="37"/>
      <c r="Z68" s="37"/>
      <c r="AA68" s="572"/>
      <c r="AB68" s="963"/>
      <c r="AC68" s="963"/>
      <c r="AD68" s="963"/>
      <c r="AE68" s="963"/>
      <c r="AF68" s="36">
        <v>11</v>
      </c>
    </row>
    <row r="69" s="36" customFormat="1" ht="11.55" customHeight="1" spans="1:32">
      <c r="A69" s="946"/>
      <c r="B69" s="43"/>
      <c r="C69" s="43"/>
      <c r="K69" s="37"/>
      <c r="L69" s="43"/>
      <c r="M69" s="43"/>
      <c r="N69" s="37"/>
      <c r="O69" s="37"/>
      <c r="P69" s="37"/>
      <c r="Q69" s="37"/>
      <c r="R69" s="43"/>
      <c r="S69" s="37"/>
      <c r="T69" s="37"/>
      <c r="U69" s="947"/>
      <c r="V69" s="37"/>
      <c r="W69" s="37"/>
      <c r="X69" s="37"/>
      <c r="Y69" s="37"/>
      <c r="Z69" s="37"/>
      <c r="AA69" s="572"/>
      <c r="AB69" s="963"/>
      <c r="AC69" s="963"/>
      <c r="AD69" s="963"/>
      <c r="AE69" s="963"/>
      <c r="AF69" s="36">
        <v>11</v>
      </c>
    </row>
    <row r="70" s="36" customFormat="1" ht="11.55" customHeight="1" spans="1:32">
      <c r="A70" s="946"/>
      <c r="B70" s="43"/>
      <c r="C70" s="43"/>
      <c r="K70" s="37"/>
      <c r="L70" s="43"/>
      <c r="M70" s="43"/>
      <c r="N70" s="37"/>
      <c r="O70" s="37"/>
      <c r="P70" s="37"/>
      <c r="Q70" s="37"/>
      <c r="R70" s="43"/>
      <c r="S70" s="37"/>
      <c r="T70" s="37"/>
      <c r="U70" s="947"/>
      <c r="V70" s="37"/>
      <c r="W70" s="37"/>
      <c r="X70" s="37"/>
      <c r="Y70" s="37"/>
      <c r="Z70" s="37"/>
      <c r="AA70" s="572"/>
      <c r="AB70" s="963"/>
      <c r="AC70" s="963"/>
      <c r="AD70" s="963"/>
      <c r="AE70" s="963"/>
      <c r="AF70" s="36">
        <v>11</v>
      </c>
    </row>
    <row r="71" s="36" customFormat="1" ht="11.55" customHeight="1" spans="1:32">
      <c r="A71" s="946"/>
      <c r="B71" s="43"/>
      <c r="C71" s="43"/>
      <c r="K71" s="37"/>
      <c r="L71" s="43"/>
      <c r="M71" s="43"/>
      <c r="N71" s="37"/>
      <c r="O71" s="37"/>
      <c r="P71" s="37"/>
      <c r="Q71" s="37"/>
      <c r="R71" s="43"/>
      <c r="S71" s="37"/>
      <c r="T71" s="37"/>
      <c r="U71" s="947"/>
      <c r="V71" s="37"/>
      <c r="W71" s="37"/>
      <c r="X71" s="37"/>
      <c r="Y71" s="37"/>
      <c r="Z71" s="37"/>
      <c r="AA71" s="572"/>
      <c r="AB71" s="963"/>
      <c r="AC71" s="963"/>
      <c r="AD71" s="963"/>
      <c r="AE71" s="963"/>
      <c r="AF71" s="36">
        <v>11</v>
      </c>
    </row>
    <row r="72" s="36" customFormat="1" ht="11.55" customHeight="1" spans="1:32">
      <c r="A72" s="946"/>
      <c r="B72" s="43"/>
      <c r="C72" s="43"/>
      <c r="K72" s="37"/>
      <c r="L72" s="43"/>
      <c r="M72" s="43"/>
      <c r="N72" s="37"/>
      <c r="O72" s="37"/>
      <c r="P72" s="37"/>
      <c r="Q72" s="37"/>
      <c r="R72" s="43"/>
      <c r="S72" s="37"/>
      <c r="T72" s="37"/>
      <c r="U72" s="947"/>
      <c r="V72" s="37"/>
      <c r="W72" s="37"/>
      <c r="X72" s="37"/>
      <c r="Y72" s="37"/>
      <c r="Z72" s="37"/>
      <c r="AA72" s="572"/>
      <c r="AB72" s="963"/>
      <c r="AC72" s="963"/>
      <c r="AD72" s="963"/>
      <c r="AE72" s="963"/>
      <c r="AF72" s="36">
        <v>11</v>
      </c>
    </row>
    <row r="73" s="36" customFormat="1" ht="11.55" customHeight="1" spans="1:32">
      <c r="A73" s="946"/>
      <c r="B73" s="43"/>
      <c r="C73" s="43"/>
      <c r="K73" s="37"/>
      <c r="L73" s="43"/>
      <c r="M73" s="43"/>
      <c r="N73" s="37"/>
      <c r="O73" s="37"/>
      <c r="P73" s="37"/>
      <c r="Q73" s="37"/>
      <c r="R73" s="43"/>
      <c r="S73" s="37"/>
      <c r="T73" s="37"/>
      <c r="U73" s="947"/>
      <c r="V73" s="37"/>
      <c r="W73" s="37"/>
      <c r="X73" s="37"/>
      <c r="Y73" s="37"/>
      <c r="Z73" s="37"/>
      <c r="AA73" s="572"/>
      <c r="AB73" s="963"/>
      <c r="AC73" s="963"/>
      <c r="AD73" s="963"/>
      <c r="AE73" s="963"/>
      <c r="AF73" s="36">
        <v>11</v>
      </c>
    </row>
    <row r="74" s="36" customFormat="1" ht="11.55" customHeight="1" spans="1:32">
      <c r="A74" s="946"/>
      <c r="B74" s="43"/>
      <c r="C74" s="43"/>
      <c r="K74" s="37"/>
      <c r="L74" s="43"/>
      <c r="M74" s="43"/>
      <c r="N74" s="37"/>
      <c r="O74" s="37"/>
      <c r="P74" s="37"/>
      <c r="Q74" s="37"/>
      <c r="R74" s="43"/>
      <c r="S74" s="37"/>
      <c r="T74" s="37"/>
      <c r="U74" s="947"/>
      <c r="V74" s="37"/>
      <c r="W74" s="37"/>
      <c r="X74" s="37"/>
      <c r="Y74" s="37"/>
      <c r="Z74" s="37"/>
      <c r="AA74" s="572"/>
      <c r="AB74" s="963"/>
      <c r="AC74" s="963"/>
      <c r="AD74" s="963"/>
      <c r="AE74" s="963"/>
      <c r="AF74" s="36">
        <v>11</v>
      </c>
    </row>
    <row r="75" s="36" customFormat="1" ht="11.55" customHeight="1" spans="1:32">
      <c r="A75" s="946"/>
      <c r="B75" s="43"/>
      <c r="C75" s="43"/>
      <c r="K75" s="37"/>
      <c r="L75" s="43"/>
      <c r="M75" s="43"/>
      <c r="N75" s="37"/>
      <c r="O75" s="37"/>
      <c r="P75" s="37"/>
      <c r="Q75" s="37"/>
      <c r="R75" s="43"/>
      <c r="S75" s="37"/>
      <c r="T75" s="37"/>
      <c r="U75" s="947"/>
      <c r="V75" s="37"/>
      <c r="W75" s="37"/>
      <c r="X75" s="37"/>
      <c r="Y75" s="37"/>
      <c r="Z75" s="37"/>
      <c r="AA75" s="572"/>
      <c r="AB75" s="963"/>
      <c r="AC75" s="963"/>
      <c r="AD75" s="963"/>
      <c r="AE75" s="963"/>
      <c r="AF75" s="36">
        <v>11</v>
      </c>
    </row>
    <row r="76" s="36" customFormat="1" ht="11.55" customHeight="1" spans="1:32">
      <c r="A76" s="946"/>
      <c r="B76" s="43"/>
      <c r="C76" s="43"/>
      <c r="K76" s="37"/>
      <c r="L76" s="43"/>
      <c r="M76" s="43"/>
      <c r="N76" s="37"/>
      <c r="O76" s="37"/>
      <c r="P76" s="37"/>
      <c r="Q76" s="37"/>
      <c r="R76" s="43"/>
      <c r="S76" s="37"/>
      <c r="T76" s="37"/>
      <c r="U76" s="947"/>
      <c r="V76" s="37"/>
      <c r="W76" s="37"/>
      <c r="X76" s="37"/>
      <c r="Y76" s="37"/>
      <c r="Z76" s="37"/>
      <c r="AA76" s="572"/>
      <c r="AB76" s="963"/>
      <c r="AC76" s="963"/>
      <c r="AD76" s="963"/>
      <c r="AE76" s="963"/>
      <c r="AF76" s="36">
        <v>11</v>
      </c>
    </row>
    <row r="77" s="36" customFormat="1" ht="11.55" customHeight="1" spans="1:32">
      <c r="A77" s="946"/>
      <c r="B77" s="43"/>
      <c r="C77" s="43"/>
      <c r="K77" s="37"/>
      <c r="L77" s="43"/>
      <c r="M77" s="43"/>
      <c r="N77" s="37"/>
      <c r="O77" s="37"/>
      <c r="P77" s="37"/>
      <c r="Q77" s="37"/>
      <c r="R77" s="43"/>
      <c r="S77" s="37"/>
      <c r="T77" s="37"/>
      <c r="U77" s="947"/>
      <c r="V77" s="37"/>
      <c r="W77" s="37"/>
      <c r="X77" s="37"/>
      <c r="Y77" s="37"/>
      <c r="Z77" s="37"/>
      <c r="AA77" s="572"/>
      <c r="AB77" s="963"/>
      <c r="AC77" s="963"/>
      <c r="AD77" s="963"/>
      <c r="AE77" s="963"/>
      <c r="AF77" s="36">
        <v>11</v>
      </c>
    </row>
    <row r="78" s="36" customFormat="1" ht="11.55" customHeight="1" spans="1:32">
      <c r="A78" s="946"/>
      <c r="B78" s="43"/>
      <c r="C78" s="43"/>
      <c r="K78" s="37"/>
      <c r="L78" s="43"/>
      <c r="M78" s="43"/>
      <c r="N78" s="37"/>
      <c r="O78" s="37"/>
      <c r="P78" s="37"/>
      <c r="Q78" s="37"/>
      <c r="R78" s="43"/>
      <c r="S78" s="37"/>
      <c r="T78" s="37"/>
      <c r="U78" s="947"/>
      <c r="V78" s="37"/>
      <c r="W78" s="37"/>
      <c r="X78" s="37"/>
      <c r="Y78" s="37"/>
      <c r="Z78" s="37"/>
      <c r="AA78" s="572"/>
      <c r="AB78" s="963"/>
      <c r="AC78" s="963"/>
      <c r="AD78" s="963"/>
      <c r="AE78" s="963"/>
      <c r="AF78" s="36">
        <v>11</v>
      </c>
    </row>
    <row r="79" s="36" customFormat="1" ht="11.55" customHeight="1" spans="1:32">
      <c r="A79" s="946"/>
      <c r="B79" s="43"/>
      <c r="C79" s="43"/>
      <c r="K79" s="37"/>
      <c r="L79" s="43"/>
      <c r="M79" s="43"/>
      <c r="N79" s="37"/>
      <c r="O79" s="37"/>
      <c r="P79" s="37"/>
      <c r="Q79" s="37"/>
      <c r="R79" s="43"/>
      <c r="S79" s="37"/>
      <c r="T79" s="37"/>
      <c r="U79" s="947"/>
      <c r="V79" s="37"/>
      <c r="W79" s="37"/>
      <c r="X79" s="37"/>
      <c r="Y79" s="37"/>
      <c r="Z79" s="37"/>
      <c r="AA79" s="572"/>
      <c r="AB79" s="963"/>
      <c r="AC79" s="963"/>
      <c r="AD79" s="963"/>
      <c r="AE79" s="963"/>
      <c r="AF79" s="36">
        <v>11</v>
      </c>
    </row>
    <row r="80" s="36" customFormat="1" ht="11.55" customHeight="1" spans="1:32">
      <c r="A80" s="946"/>
      <c r="B80" s="43"/>
      <c r="C80" s="43"/>
      <c r="K80" s="37"/>
      <c r="L80" s="43"/>
      <c r="M80" s="43"/>
      <c r="N80" s="37"/>
      <c r="O80" s="37"/>
      <c r="P80" s="37"/>
      <c r="Q80" s="37"/>
      <c r="R80" s="43"/>
      <c r="S80" s="37"/>
      <c r="T80" s="37"/>
      <c r="U80" s="947"/>
      <c r="V80" s="37"/>
      <c r="W80" s="37"/>
      <c r="X80" s="37"/>
      <c r="Y80" s="37"/>
      <c r="Z80" s="37"/>
      <c r="AA80" s="572"/>
      <c r="AB80" s="963"/>
      <c r="AC80" s="963"/>
      <c r="AD80" s="963"/>
      <c r="AE80" s="963"/>
      <c r="AF80" s="36">
        <v>11</v>
      </c>
    </row>
    <row r="81" s="36" customFormat="1" ht="11.55" customHeight="1" spans="1:32">
      <c r="A81" s="946"/>
      <c r="B81" s="43"/>
      <c r="C81" s="43"/>
      <c r="K81" s="37"/>
      <c r="L81" s="43"/>
      <c r="M81" s="43"/>
      <c r="N81" s="37"/>
      <c r="O81" s="37"/>
      <c r="P81" s="37"/>
      <c r="Q81" s="37"/>
      <c r="R81" s="43"/>
      <c r="S81" s="37"/>
      <c r="T81" s="37"/>
      <c r="U81" s="947"/>
      <c r="V81" s="37"/>
      <c r="W81" s="37"/>
      <c r="X81" s="37"/>
      <c r="Y81" s="37"/>
      <c r="Z81" s="37"/>
      <c r="AA81" s="572"/>
      <c r="AB81" s="963"/>
      <c r="AC81" s="963"/>
      <c r="AD81" s="963"/>
      <c r="AE81" s="963"/>
      <c r="AF81" s="36">
        <v>11</v>
      </c>
    </row>
    <row r="82" s="36" customFormat="1" ht="11.55" customHeight="1" spans="1:32">
      <c r="A82" s="946"/>
      <c r="B82" s="43"/>
      <c r="C82" s="43"/>
      <c r="K82" s="37"/>
      <c r="L82" s="43"/>
      <c r="M82" s="43"/>
      <c r="N82" s="37"/>
      <c r="O82" s="37"/>
      <c r="P82" s="37"/>
      <c r="Q82" s="37"/>
      <c r="R82" s="43"/>
      <c r="S82" s="37"/>
      <c r="T82" s="37"/>
      <c r="U82" s="947"/>
      <c r="V82" s="37"/>
      <c r="W82" s="37"/>
      <c r="X82" s="37"/>
      <c r="Y82" s="37"/>
      <c r="Z82" s="37"/>
      <c r="AA82" s="572"/>
      <c r="AB82" s="963"/>
      <c r="AC82" s="963"/>
      <c r="AD82" s="963"/>
      <c r="AE82" s="963"/>
      <c r="AF82" s="36">
        <v>11</v>
      </c>
    </row>
    <row r="83" s="36" customFormat="1" ht="11.55" customHeight="1" spans="1:32">
      <c r="A83" s="946"/>
      <c r="B83" s="43"/>
      <c r="C83" s="43"/>
      <c r="K83" s="37"/>
      <c r="L83" s="43"/>
      <c r="M83" s="43"/>
      <c r="N83" s="37"/>
      <c r="O83" s="37"/>
      <c r="P83" s="37"/>
      <c r="Q83" s="37"/>
      <c r="R83" s="43"/>
      <c r="S83" s="37"/>
      <c r="T83" s="37"/>
      <c r="U83" s="947"/>
      <c r="V83" s="37"/>
      <c r="W83" s="37"/>
      <c r="X83" s="37"/>
      <c r="Y83" s="37"/>
      <c r="Z83" s="37"/>
      <c r="AA83" s="572"/>
      <c r="AB83" s="963"/>
      <c r="AC83" s="963"/>
      <c r="AD83" s="963"/>
      <c r="AE83" s="963"/>
      <c r="AF83" s="36">
        <v>11</v>
      </c>
    </row>
    <row r="84" s="36" customFormat="1" ht="11.55" customHeight="1" spans="1:32">
      <c r="A84" s="946"/>
      <c r="B84" s="43"/>
      <c r="C84" s="43"/>
      <c r="K84" s="37"/>
      <c r="L84" s="43"/>
      <c r="M84" s="43"/>
      <c r="N84" s="37"/>
      <c r="O84" s="37"/>
      <c r="P84" s="37"/>
      <c r="Q84" s="37"/>
      <c r="R84" s="43"/>
      <c r="S84" s="37"/>
      <c r="T84" s="37"/>
      <c r="U84" s="947"/>
      <c r="V84" s="37"/>
      <c r="W84" s="37"/>
      <c r="X84" s="37"/>
      <c r="Y84" s="37"/>
      <c r="Z84" s="37"/>
      <c r="AA84" s="572"/>
      <c r="AB84" s="963"/>
      <c r="AC84" s="963"/>
      <c r="AD84" s="963"/>
      <c r="AE84" s="963"/>
      <c r="AF84" s="36">
        <v>11</v>
      </c>
    </row>
    <row r="85" s="36" customFormat="1" ht="11.55" customHeight="1" spans="1:32">
      <c r="A85" s="946"/>
      <c r="B85" s="43"/>
      <c r="C85" s="43"/>
      <c r="K85" s="37"/>
      <c r="L85" s="43"/>
      <c r="M85" s="43"/>
      <c r="N85" s="37"/>
      <c r="O85" s="37"/>
      <c r="P85" s="37"/>
      <c r="Q85" s="37"/>
      <c r="R85" s="43"/>
      <c r="S85" s="37"/>
      <c r="T85" s="37"/>
      <c r="U85" s="947"/>
      <c r="V85" s="37"/>
      <c r="W85" s="37"/>
      <c r="X85" s="37"/>
      <c r="Y85" s="37"/>
      <c r="Z85" s="37"/>
      <c r="AA85" s="572"/>
      <c r="AB85" s="963"/>
      <c r="AC85" s="963"/>
      <c r="AD85" s="963"/>
      <c r="AE85" s="963"/>
      <c r="AF85" s="36">
        <v>11</v>
      </c>
    </row>
    <row r="86" s="36" customFormat="1" ht="11.55" customHeight="1" spans="1:32">
      <c r="A86" s="946"/>
      <c r="B86" s="43"/>
      <c r="C86" s="43"/>
      <c r="K86" s="37"/>
      <c r="L86" s="43"/>
      <c r="M86" s="43"/>
      <c r="N86" s="37"/>
      <c r="O86" s="37"/>
      <c r="P86" s="37"/>
      <c r="Q86" s="37"/>
      <c r="R86" s="43"/>
      <c r="S86" s="37"/>
      <c r="T86" s="37"/>
      <c r="U86" s="947"/>
      <c r="V86" s="37"/>
      <c r="W86" s="37"/>
      <c r="X86" s="37"/>
      <c r="Y86" s="37"/>
      <c r="Z86" s="37"/>
      <c r="AA86" s="572"/>
      <c r="AB86" s="963"/>
      <c r="AC86" s="963"/>
      <c r="AD86" s="963"/>
      <c r="AE86" s="963"/>
      <c r="AF86" s="36">
        <v>11</v>
      </c>
    </row>
    <row r="87" s="36" customFormat="1" ht="11.55" customHeight="1" spans="1:32">
      <c r="A87" s="946"/>
      <c r="B87" s="43"/>
      <c r="C87" s="43"/>
      <c r="K87" s="37"/>
      <c r="L87" s="43"/>
      <c r="M87" s="43"/>
      <c r="N87" s="37"/>
      <c r="O87" s="37"/>
      <c r="P87" s="37"/>
      <c r="Q87" s="37"/>
      <c r="R87" s="43"/>
      <c r="S87" s="37"/>
      <c r="T87" s="37"/>
      <c r="U87" s="947"/>
      <c r="V87" s="37"/>
      <c r="W87" s="37"/>
      <c r="X87" s="37"/>
      <c r="Y87" s="37"/>
      <c r="Z87" s="37"/>
      <c r="AA87" s="572"/>
      <c r="AB87" s="963"/>
      <c r="AC87" s="963"/>
      <c r="AD87" s="963"/>
      <c r="AE87" s="963"/>
      <c r="AF87" s="36">
        <v>11</v>
      </c>
    </row>
    <row r="88" s="36" customFormat="1" ht="11.55" customHeight="1" spans="1:32">
      <c r="A88" s="946"/>
      <c r="B88" s="43"/>
      <c r="C88" s="43"/>
      <c r="K88" s="37"/>
      <c r="L88" s="43"/>
      <c r="M88" s="43"/>
      <c r="N88" s="37"/>
      <c r="O88" s="37"/>
      <c r="P88" s="37"/>
      <c r="Q88" s="37"/>
      <c r="R88" s="43"/>
      <c r="S88" s="37"/>
      <c r="T88" s="37"/>
      <c r="U88" s="947"/>
      <c r="V88" s="37"/>
      <c r="W88" s="37"/>
      <c r="X88" s="37"/>
      <c r="Y88" s="37"/>
      <c r="Z88" s="37"/>
      <c r="AA88" s="572"/>
      <c r="AB88" s="963"/>
      <c r="AC88" s="963"/>
      <c r="AD88" s="963"/>
      <c r="AE88" s="963"/>
      <c r="AF88" s="36">
        <v>11</v>
      </c>
    </row>
    <row r="89" s="36" customFormat="1" ht="11.55" customHeight="1" spans="1:32">
      <c r="A89" s="946"/>
      <c r="B89" s="43"/>
      <c r="C89" s="43"/>
      <c r="K89" s="37"/>
      <c r="L89" s="43"/>
      <c r="M89" s="43"/>
      <c r="N89" s="37"/>
      <c r="O89" s="37"/>
      <c r="P89" s="37"/>
      <c r="Q89" s="37"/>
      <c r="R89" s="43"/>
      <c r="S89" s="37"/>
      <c r="T89" s="37"/>
      <c r="U89" s="947"/>
      <c r="V89" s="37"/>
      <c r="W89" s="37"/>
      <c r="X89" s="37"/>
      <c r="Y89" s="37"/>
      <c r="Z89" s="37"/>
      <c r="AA89" s="572"/>
      <c r="AB89" s="963"/>
      <c r="AC89" s="963"/>
      <c r="AD89" s="963"/>
      <c r="AE89" s="963"/>
      <c r="AF89" s="36">
        <v>11</v>
      </c>
    </row>
    <row r="90" s="36" customFormat="1" ht="11.55" customHeight="1" spans="1:32">
      <c r="A90" s="946"/>
      <c r="B90" s="43"/>
      <c r="C90" s="43"/>
      <c r="K90" s="37"/>
      <c r="L90" s="43"/>
      <c r="M90" s="43"/>
      <c r="N90" s="37"/>
      <c r="O90" s="37"/>
      <c r="P90" s="37"/>
      <c r="Q90" s="37"/>
      <c r="R90" s="43"/>
      <c r="S90" s="37"/>
      <c r="T90" s="37"/>
      <c r="U90" s="947"/>
      <c r="V90" s="37"/>
      <c r="W90" s="37"/>
      <c r="X90" s="37"/>
      <c r="Y90" s="37"/>
      <c r="Z90" s="37"/>
      <c r="AA90" s="572"/>
      <c r="AB90" s="963"/>
      <c r="AC90" s="963"/>
      <c r="AD90" s="963"/>
      <c r="AE90" s="963"/>
      <c r="AF90" s="36">
        <v>11</v>
      </c>
    </row>
    <row r="91" s="36" customFormat="1" ht="11.55" customHeight="1" spans="1:32">
      <c r="A91" s="946"/>
      <c r="B91" s="43"/>
      <c r="C91" s="43"/>
      <c r="K91" s="37"/>
      <c r="L91" s="43"/>
      <c r="M91" s="43"/>
      <c r="N91" s="37"/>
      <c r="O91" s="37"/>
      <c r="P91" s="37"/>
      <c r="Q91" s="37"/>
      <c r="R91" s="43"/>
      <c r="S91" s="37"/>
      <c r="T91" s="37"/>
      <c r="U91" s="947"/>
      <c r="V91" s="37"/>
      <c r="W91" s="37"/>
      <c r="X91" s="37"/>
      <c r="Y91" s="37"/>
      <c r="Z91" s="37"/>
      <c r="AA91" s="572"/>
      <c r="AB91" s="963"/>
      <c r="AC91" s="963"/>
      <c r="AD91" s="963"/>
      <c r="AE91" s="963"/>
      <c r="AF91" s="36">
        <v>11</v>
      </c>
    </row>
    <row r="92" s="36" customFormat="1" ht="11.55" customHeight="1" spans="1:32">
      <c r="A92" s="946"/>
      <c r="B92" s="43"/>
      <c r="C92" s="43"/>
      <c r="K92" s="37"/>
      <c r="L92" s="43"/>
      <c r="M92" s="43"/>
      <c r="N92" s="37"/>
      <c r="O92" s="37"/>
      <c r="P92" s="37"/>
      <c r="Q92" s="37"/>
      <c r="R92" s="43"/>
      <c r="S92" s="37"/>
      <c r="T92" s="37"/>
      <c r="U92" s="947"/>
      <c r="V92" s="37"/>
      <c r="W92" s="37"/>
      <c r="X92" s="37"/>
      <c r="Y92" s="37"/>
      <c r="Z92" s="37"/>
      <c r="AA92" s="572"/>
      <c r="AB92" s="963"/>
      <c r="AC92" s="963"/>
      <c r="AD92" s="963"/>
      <c r="AE92" s="963"/>
      <c r="AF92" s="36">
        <v>11</v>
      </c>
    </row>
    <row r="93" s="36" customFormat="1" ht="11.55" customHeight="1" spans="1:32">
      <c r="A93" s="946"/>
      <c r="B93" s="43"/>
      <c r="C93" s="43"/>
      <c r="K93" s="37"/>
      <c r="L93" s="43"/>
      <c r="M93" s="43"/>
      <c r="N93" s="37"/>
      <c r="O93" s="37"/>
      <c r="P93" s="37"/>
      <c r="Q93" s="37"/>
      <c r="R93" s="43"/>
      <c r="S93" s="37"/>
      <c r="T93" s="37"/>
      <c r="U93" s="947"/>
      <c r="V93" s="37"/>
      <c r="W93" s="37"/>
      <c r="X93" s="37"/>
      <c r="Y93" s="37"/>
      <c r="Z93" s="37"/>
      <c r="AA93" s="572"/>
      <c r="AB93" s="963"/>
      <c r="AC93" s="963"/>
      <c r="AD93" s="963"/>
      <c r="AE93" s="963"/>
      <c r="AF93" s="36">
        <v>11</v>
      </c>
    </row>
    <row r="94" s="36" customFormat="1" ht="11.55" customHeight="1" spans="1:32">
      <c r="A94" s="946"/>
      <c r="B94" s="43"/>
      <c r="C94" s="43"/>
      <c r="K94" s="37"/>
      <c r="L94" s="43"/>
      <c r="M94" s="43"/>
      <c r="N94" s="37"/>
      <c r="O94" s="37"/>
      <c r="P94" s="37"/>
      <c r="Q94" s="37"/>
      <c r="R94" s="43"/>
      <c r="S94" s="37"/>
      <c r="T94" s="37"/>
      <c r="U94" s="947"/>
      <c r="V94" s="37"/>
      <c r="W94" s="37"/>
      <c r="X94" s="37"/>
      <c r="Y94" s="37"/>
      <c r="Z94" s="37"/>
      <c r="AA94" s="572"/>
      <c r="AB94" s="963"/>
      <c r="AC94" s="963"/>
      <c r="AD94" s="963"/>
      <c r="AE94" s="963"/>
      <c r="AF94" s="36">
        <v>11</v>
      </c>
    </row>
    <row r="95" s="36" customFormat="1" ht="11.55" customHeight="1" spans="1:32">
      <c r="A95" s="946"/>
      <c r="B95" s="43"/>
      <c r="C95" s="43"/>
      <c r="K95" s="37"/>
      <c r="L95" s="43"/>
      <c r="M95" s="43"/>
      <c r="N95" s="37"/>
      <c r="O95" s="37"/>
      <c r="P95" s="37"/>
      <c r="Q95" s="37"/>
      <c r="R95" s="43"/>
      <c r="S95" s="37"/>
      <c r="T95" s="37"/>
      <c r="U95" s="947"/>
      <c r="V95" s="37"/>
      <c r="W95" s="37"/>
      <c r="X95" s="37"/>
      <c r="Y95" s="37"/>
      <c r="Z95" s="37"/>
      <c r="AA95" s="572"/>
      <c r="AB95" s="963"/>
      <c r="AC95" s="963"/>
      <c r="AD95" s="963"/>
      <c r="AE95" s="963"/>
      <c r="AF95" s="36">
        <v>11</v>
      </c>
    </row>
    <row r="96" s="36" customFormat="1" ht="11.55" customHeight="1" spans="1:32">
      <c r="A96" s="946"/>
      <c r="B96" s="43"/>
      <c r="C96" s="43"/>
      <c r="K96" s="37"/>
      <c r="L96" s="43"/>
      <c r="M96" s="43"/>
      <c r="N96" s="37"/>
      <c r="O96" s="37"/>
      <c r="P96" s="37"/>
      <c r="Q96" s="37"/>
      <c r="R96" s="43"/>
      <c r="S96" s="37"/>
      <c r="T96" s="37"/>
      <c r="U96" s="947"/>
      <c r="V96" s="37"/>
      <c r="W96" s="37"/>
      <c r="X96" s="37"/>
      <c r="Y96" s="37"/>
      <c r="Z96" s="37"/>
      <c r="AA96" s="572"/>
      <c r="AB96" s="963"/>
      <c r="AC96" s="963"/>
      <c r="AD96" s="963"/>
      <c r="AE96" s="963"/>
      <c r="AF96" s="36">
        <v>11</v>
      </c>
    </row>
    <row r="97" s="36" customFormat="1" ht="11.55" customHeight="1" spans="1:32">
      <c r="A97" s="946"/>
      <c r="B97" s="43"/>
      <c r="C97" s="43"/>
      <c r="K97" s="37"/>
      <c r="L97" s="43"/>
      <c r="M97" s="43"/>
      <c r="N97" s="37"/>
      <c r="O97" s="37"/>
      <c r="P97" s="37"/>
      <c r="Q97" s="37"/>
      <c r="R97" s="43"/>
      <c r="S97" s="37"/>
      <c r="T97" s="37"/>
      <c r="U97" s="947"/>
      <c r="V97" s="37"/>
      <c r="W97" s="37"/>
      <c r="X97" s="37"/>
      <c r="Y97" s="37"/>
      <c r="Z97" s="37"/>
      <c r="AA97" s="572"/>
      <c r="AB97" s="963"/>
      <c r="AC97" s="963"/>
      <c r="AD97" s="963"/>
      <c r="AE97" s="963"/>
      <c r="AF97" s="36">
        <v>11</v>
      </c>
    </row>
    <row r="98" s="36" customFormat="1" ht="11.55" customHeight="1" spans="1:32">
      <c r="A98" s="946"/>
      <c r="B98" s="43"/>
      <c r="C98" s="43"/>
      <c r="K98" s="37"/>
      <c r="L98" s="43"/>
      <c r="M98" s="43"/>
      <c r="N98" s="37"/>
      <c r="O98" s="37"/>
      <c r="P98" s="37"/>
      <c r="Q98" s="37"/>
      <c r="R98" s="43"/>
      <c r="S98" s="37"/>
      <c r="T98" s="37"/>
      <c r="U98" s="947"/>
      <c r="V98" s="37"/>
      <c r="W98" s="37"/>
      <c r="X98" s="37"/>
      <c r="Y98" s="37"/>
      <c r="Z98" s="37"/>
      <c r="AA98" s="572"/>
      <c r="AB98" s="963"/>
      <c r="AC98" s="963"/>
      <c r="AD98" s="963"/>
      <c r="AE98" s="963"/>
      <c r="AF98" s="36">
        <v>11</v>
      </c>
    </row>
    <row r="99" s="36" customFormat="1" ht="11.55" customHeight="1" spans="1:32">
      <c r="A99" s="946"/>
      <c r="B99" s="43"/>
      <c r="C99" s="43"/>
      <c r="K99" s="37"/>
      <c r="L99" s="43"/>
      <c r="M99" s="43"/>
      <c r="N99" s="37"/>
      <c r="O99" s="37"/>
      <c r="P99" s="37"/>
      <c r="Q99" s="37"/>
      <c r="R99" s="43"/>
      <c r="S99" s="37"/>
      <c r="T99" s="37"/>
      <c r="U99" s="947"/>
      <c r="V99" s="37"/>
      <c r="W99" s="37"/>
      <c r="X99" s="37"/>
      <c r="Y99" s="37"/>
      <c r="Z99" s="37"/>
      <c r="AA99" s="572"/>
      <c r="AB99" s="963"/>
      <c r="AC99" s="963"/>
      <c r="AD99" s="963"/>
      <c r="AE99" s="963"/>
      <c r="AF99" s="36">
        <v>11</v>
      </c>
    </row>
    <row r="100" s="36" customFormat="1" ht="11.55" customHeight="1" spans="1:32">
      <c r="A100" s="946"/>
      <c r="B100" s="43"/>
      <c r="C100" s="43"/>
      <c r="K100" s="37"/>
      <c r="L100" s="43"/>
      <c r="M100" s="43"/>
      <c r="N100" s="37"/>
      <c r="O100" s="37"/>
      <c r="P100" s="37"/>
      <c r="Q100" s="37"/>
      <c r="R100" s="43"/>
      <c r="S100" s="37"/>
      <c r="T100" s="37"/>
      <c r="U100" s="947"/>
      <c r="V100" s="37"/>
      <c r="W100" s="37"/>
      <c r="X100" s="37"/>
      <c r="Y100" s="37"/>
      <c r="Z100" s="37"/>
      <c r="AA100" s="572"/>
      <c r="AB100" s="963"/>
      <c r="AC100" s="963"/>
      <c r="AD100" s="963"/>
      <c r="AE100" s="963"/>
      <c r="AF100" s="36">
        <v>11</v>
      </c>
    </row>
    <row r="101" s="36" customFormat="1" ht="11.55" customHeight="1" spans="1:32">
      <c r="A101" s="946"/>
      <c r="B101" s="43"/>
      <c r="C101" s="43"/>
      <c r="K101" s="37"/>
      <c r="L101" s="43"/>
      <c r="M101" s="43"/>
      <c r="N101" s="37"/>
      <c r="O101" s="37"/>
      <c r="P101" s="37"/>
      <c r="Q101" s="37"/>
      <c r="R101" s="43"/>
      <c r="S101" s="37"/>
      <c r="T101" s="37"/>
      <c r="U101" s="947"/>
      <c r="V101" s="37"/>
      <c r="W101" s="37"/>
      <c r="X101" s="37"/>
      <c r="Y101" s="37"/>
      <c r="Z101" s="37"/>
      <c r="AA101" s="572"/>
      <c r="AB101" s="963"/>
      <c r="AC101" s="963"/>
      <c r="AD101" s="963"/>
      <c r="AE101" s="963"/>
      <c r="AF101" s="36">
        <v>11</v>
      </c>
    </row>
    <row r="102" s="36" customFormat="1" ht="11.55" customHeight="1" spans="1:32">
      <c r="A102" s="946"/>
      <c r="B102" s="43"/>
      <c r="C102" s="43"/>
      <c r="K102" s="37"/>
      <c r="L102" s="43"/>
      <c r="M102" s="43"/>
      <c r="N102" s="37"/>
      <c r="O102" s="37"/>
      <c r="P102" s="37"/>
      <c r="Q102" s="37"/>
      <c r="R102" s="43"/>
      <c r="S102" s="37"/>
      <c r="T102" s="37"/>
      <c r="U102" s="947"/>
      <c r="V102" s="37"/>
      <c r="W102" s="37"/>
      <c r="X102" s="37"/>
      <c r="Y102" s="37"/>
      <c r="Z102" s="37"/>
      <c r="AA102" s="572"/>
      <c r="AB102" s="963"/>
      <c r="AC102" s="963"/>
      <c r="AD102" s="963"/>
      <c r="AE102" s="963"/>
      <c r="AF102" s="36">
        <v>11</v>
      </c>
    </row>
    <row r="103" s="36" customFormat="1" ht="11.55" customHeight="1" spans="1:32">
      <c r="A103" s="946"/>
      <c r="B103" s="43"/>
      <c r="C103" s="43"/>
      <c r="K103" s="37"/>
      <c r="L103" s="43"/>
      <c r="M103" s="43"/>
      <c r="N103" s="37"/>
      <c r="O103" s="37"/>
      <c r="P103" s="37"/>
      <c r="Q103" s="37"/>
      <c r="R103" s="43"/>
      <c r="S103" s="37"/>
      <c r="T103" s="37"/>
      <c r="U103" s="947"/>
      <c r="V103" s="37"/>
      <c r="W103" s="37"/>
      <c r="X103" s="37"/>
      <c r="Y103" s="37"/>
      <c r="Z103" s="37"/>
      <c r="AA103" s="572"/>
      <c r="AB103" s="963"/>
      <c r="AC103" s="963"/>
      <c r="AD103" s="963"/>
      <c r="AE103" s="963"/>
      <c r="AF103" s="36">
        <v>11</v>
      </c>
    </row>
    <row r="104" s="36" customFormat="1" ht="11.55" customHeight="1" spans="1:32">
      <c r="A104" s="946"/>
      <c r="B104" s="43"/>
      <c r="C104" s="43"/>
      <c r="K104" s="37"/>
      <c r="L104" s="43"/>
      <c r="M104" s="43"/>
      <c r="N104" s="37"/>
      <c r="O104" s="37"/>
      <c r="P104" s="37"/>
      <c r="Q104" s="37"/>
      <c r="R104" s="43"/>
      <c r="S104" s="37"/>
      <c r="T104" s="37"/>
      <c r="U104" s="947"/>
      <c r="V104" s="37"/>
      <c r="W104" s="37"/>
      <c r="X104" s="37"/>
      <c r="Y104" s="37"/>
      <c r="Z104" s="37"/>
      <c r="AA104" s="572"/>
      <c r="AB104" s="963"/>
      <c r="AC104" s="963"/>
      <c r="AD104" s="963"/>
      <c r="AE104" s="963"/>
      <c r="AF104" s="36">
        <v>11</v>
      </c>
    </row>
    <row r="105" s="36" customFormat="1" ht="11.55" customHeight="1" spans="1:32">
      <c r="A105" s="946"/>
      <c r="B105" s="43"/>
      <c r="C105" s="43"/>
      <c r="K105" s="37"/>
      <c r="L105" s="43"/>
      <c r="M105" s="43"/>
      <c r="N105" s="37"/>
      <c r="O105" s="37"/>
      <c r="P105" s="37"/>
      <c r="Q105" s="37"/>
      <c r="R105" s="43"/>
      <c r="S105" s="37"/>
      <c r="T105" s="37"/>
      <c r="U105" s="947"/>
      <c r="V105" s="37"/>
      <c r="W105" s="37"/>
      <c r="X105" s="37"/>
      <c r="Y105" s="37"/>
      <c r="Z105" s="37"/>
      <c r="AA105" s="572"/>
      <c r="AB105" s="963"/>
      <c r="AC105" s="963"/>
      <c r="AD105" s="963"/>
      <c r="AE105" s="963"/>
      <c r="AF105" s="36">
        <v>11</v>
      </c>
    </row>
    <row r="106" s="36" customFormat="1" ht="11.55" customHeight="1" spans="1:32">
      <c r="A106" s="946"/>
      <c r="B106" s="43"/>
      <c r="C106" s="43"/>
      <c r="K106" s="37"/>
      <c r="L106" s="43"/>
      <c r="M106" s="43"/>
      <c r="N106" s="37"/>
      <c r="O106" s="37"/>
      <c r="P106" s="37"/>
      <c r="Q106" s="37"/>
      <c r="R106" s="43"/>
      <c r="S106" s="37"/>
      <c r="T106" s="37"/>
      <c r="U106" s="947"/>
      <c r="V106" s="37"/>
      <c r="W106" s="37"/>
      <c r="X106" s="37"/>
      <c r="Y106" s="37"/>
      <c r="Z106" s="37"/>
      <c r="AA106" s="572"/>
      <c r="AB106" s="963"/>
      <c r="AC106" s="963"/>
      <c r="AD106" s="963"/>
      <c r="AE106" s="963"/>
      <c r="AF106" s="36">
        <v>11</v>
      </c>
    </row>
    <row r="107" s="36" customFormat="1" ht="11.55" customHeight="1" spans="1:32">
      <c r="A107" s="946"/>
      <c r="B107" s="43"/>
      <c r="C107" s="43"/>
      <c r="K107" s="37"/>
      <c r="L107" s="43"/>
      <c r="M107" s="43"/>
      <c r="N107" s="37"/>
      <c r="O107" s="37"/>
      <c r="P107" s="37"/>
      <c r="Q107" s="37"/>
      <c r="R107" s="43"/>
      <c r="S107" s="37"/>
      <c r="T107" s="37"/>
      <c r="U107" s="947"/>
      <c r="V107" s="37"/>
      <c r="W107" s="37"/>
      <c r="X107" s="37"/>
      <c r="Y107" s="37"/>
      <c r="Z107" s="37"/>
      <c r="AA107" s="572"/>
      <c r="AB107" s="963"/>
      <c r="AC107" s="963"/>
      <c r="AD107" s="963"/>
      <c r="AE107" s="963"/>
      <c r="AF107" s="36">
        <v>11</v>
      </c>
    </row>
    <row r="108" s="36" customFormat="1" ht="11.55" customHeight="1" spans="1:32">
      <c r="A108" s="946"/>
      <c r="B108" s="43"/>
      <c r="C108" s="43"/>
      <c r="K108" s="37"/>
      <c r="L108" s="43"/>
      <c r="M108" s="43"/>
      <c r="N108" s="37"/>
      <c r="O108" s="37"/>
      <c r="P108" s="37"/>
      <c r="Q108" s="37"/>
      <c r="R108" s="43"/>
      <c r="S108" s="37"/>
      <c r="T108" s="37"/>
      <c r="U108" s="947"/>
      <c r="V108" s="37"/>
      <c r="W108" s="37"/>
      <c r="X108" s="37"/>
      <c r="Y108" s="37"/>
      <c r="Z108" s="37"/>
      <c r="AA108" s="572"/>
      <c r="AB108" s="963"/>
      <c r="AC108" s="963"/>
      <c r="AD108" s="963"/>
      <c r="AE108" s="963"/>
      <c r="AF108" s="36">
        <v>11</v>
      </c>
    </row>
    <row r="109" s="36" customFormat="1" ht="11.55" customHeight="1" spans="1:32">
      <c r="A109" s="946"/>
      <c r="B109" s="43"/>
      <c r="C109" s="43"/>
      <c r="K109" s="37"/>
      <c r="L109" s="43"/>
      <c r="M109" s="43"/>
      <c r="N109" s="37"/>
      <c r="O109" s="37"/>
      <c r="P109" s="37"/>
      <c r="Q109" s="37"/>
      <c r="R109" s="43"/>
      <c r="S109" s="37"/>
      <c r="T109" s="37"/>
      <c r="U109" s="947"/>
      <c r="V109" s="37"/>
      <c r="W109" s="37"/>
      <c r="X109" s="37"/>
      <c r="Y109" s="37"/>
      <c r="Z109" s="37"/>
      <c r="AA109" s="572"/>
      <c r="AB109" s="963"/>
      <c r="AC109" s="963"/>
      <c r="AD109" s="963"/>
      <c r="AE109" s="963"/>
      <c r="AF109" s="36">
        <v>11</v>
      </c>
    </row>
    <row r="110" s="36" customFormat="1" ht="11.55" customHeight="1" spans="1:32">
      <c r="A110" s="946"/>
      <c r="B110" s="43"/>
      <c r="C110" s="43"/>
      <c r="K110" s="37"/>
      <c r="L110" s="43"/>
      <c r="M110" s="43"/>
      <c r="N110" s="37"/>
      <c r="O110" s="37"/>
      <c r="P110" s="37"/>
      <c r="Q110" s="37"/>
      <c r="R110" s="43"/>
      <c r="S110" s="37"/>
      <c r="T110" s="37"/>
      <c r="U110" s="947"/>
      <c r="V110" s="37"/>
      <c r="W110" s="37"/>
      <c r="X110" s="37"/>
      <c r="Y110" s="37"/>
      <c r="Z110" s="37"/>
      <c r="AA110" s="572"/>
      <c r="AB110" s="963"/>
      <c r="AC110" s="963"/>
      <c r="AD110" s="963"/>
      <c r="AE110" s="963"/>
      <c r="AF110" s="36">
        <v>11</v>
      </c>
    </row>
    <row r="111" s="36" customFormat="1" ht="11.55" customHeight="1" spans="1:32">
      <c r="A111" s="946"/>
      <c r="B111" s="43"/>
      <c r="C111" s="43"/>
      <c r="K111" s="37"/>
      <c r="L111" s="43"/>
      <c r="M111" s="43"/>
      <c r="N111" s="37"/>
      <c r="O111" s="37"/>
      <c r="P111" s="37"/>
      <c r="Q111" s="37"/>
      <c r="R111" s="43"/>
      <c r="S111" s="37"/>
      <c r="T111" s="37"/>
      <c r="U111" s="947"/>
      <c r="V111" s="37"/>
      <c r="W111" s="37"/>
      <c r="X111" s="37"/>
      <c r="Y111" s="37"/>
      <c r="Z111" s="37"/>
      <c r="AA111" s="572"/>
      <c r="AB111" s="963"/>
      <c r="AC111" s="963"/>
      <c r="AD111" s="963"/>
      <c r="AE111" s="963"/>
      <c r="AF111" s="36">
        <v>11</v>
      </c>
    </row>
    <row r="112" s="36" customFormat="1" ht="11.55" customHeight="1" spans="1:32">
      <c r="A112" s="946"/>
      <c r="B112" s="43"/>
      <c r="C112" s="43"/>
      <c r="K112" s="37"/>
      <c r="L112" s="43"/>
      <c r="M112" s="43"/>
      <c r="N112" s="37"/>
      <c r="O112" s="37"/>
      <c r="P112" s="37"/>
      <c r="Q112" s="37"/>
      <c r="R112" s="43"/>
      <c r="S112" s="37"/>
      <c r="T112" s="37"/>
      <c r="U112" s="947"/>
      <c r="V112" s="37"/>
      <c r="W112" s="37"/>
      <c r="X112" s="37"/>
      <c r="Y112" s="37"/>
      <c r="Z112" s="37"/>
      <c r="AA112" s="572"/>
      <c r="AB112" s="963"/>
      <c r="AC112" s="963"/>
      <c r="AD112" s="963"/>
      <c r="AE112" s="963"/>
      <c r="AF112" s="36">
        <v>11</v>
      </c>
    </row>
    <row r="113" s="36" customFormat="1" ht="11.55" customHeight="1" spans="1:32">
      <c r="A113" s="946"/>
      <c r="B113" s="43"/>
      <c r="C113" s="43"/>
      <c r="K113" s="37"/>
      <c r="L113" s="43"/>
      <c r="M113" s="43"/>
      <c r="N113" s="37"/>
      <c r="O113" s="37"/>
      <c r="P113" s="37"/>
      <c r="Q113" s="37"/>
      <c r="R113" s="43"/>
      <c r="S113" s="37"/>
      <c r="T113" s="37"/>
      <c r="U113" s="947"/>
      <c r="V113" s="37"/>
      <c r="W113" s="37"/>
      <c r="X113" s="37"/>
      <c r="Y113" s="37"/>
      <c r="Z113" s="37"/>
      <c r="AA113" s="572"/>
      <c r="AB113" s="963"/>
      <c r="AC113" s="963"/>
      <c r="AD113" s="963"/>
      <c r="AE113" s="963"/>
      <c r="AF113" s="36">
        <v>11</v>
      </c>
    </row>
    <row r="114" s="36" customFormat="1" ht="11.55" customHeight="1" spans="1:32">
      <c r="A114" s="946"/>
      <c r="B114" s="43"/>
      <c r="C114" s="43"/>
      <c r="K114" s="37"/>
      <c r="L114" s="43"/>
      <c r="M114" s="43"/>
      <c r="N114" s="37"/>
      <c r="O114" s="37"/>
      <c r="P114" s="37"/>
      <c r="Q114" s="37"/>
      <c r="R114" s="43"/>
      <c r="S114" s="37"/>
      <c r="T114" s="37"/>
      <c r="U114" s="947"/>
      <c r="V114" s="37"/>
      <c r="W114" s="37"/>
      <c r="X114" s="37"/>
      <c r="Y114" s="37"/>
      <c r="Z114" s="37"/>
      <c r="AA114" s="572"/>
      <c r="AB114" s="963"/>
      <c r="AC114" s="963"/>
      <c r="AD114" s="963"/>
      <c r="AE114" s="963"/>
      <c r="AF114" s="36">
        <v>11</v>
      </c>
    </row>
    <row r="115" s="36" customFormat="1" ht="11.55" customHeight="1" spans="1:32">
      <c r="A115" s="946"/>
      <c r="B115" s="43"/>
      <c r="C115" s="43"/>
      <c r="K115" s="37"/>
      <c r="L115" s="43"/>
      <c r="M115" s="43"/>
      <c r="N115" s="37"/>
      <c r="O115" s="37"/>
      <c r="P115" s="37"/>
      <c r="Q115" s="37"/>
      <c r="R115" s="43"/>
      <c r="S115" s="37"/>
      <c r="T115" s="37"/>
      <c r="U115" s="947"/>
      <c r="V115" s="37"/>
      <c r="W115" s="37"/>
      <c r="X115" s="37"/>
      <c r="Y115" s="37"/>
      <c r="Z115" s="37"/>
      <c r="AA115" s="572"/>
      <c r="AB115" s="963"/>
      <c r="AC115" s="963"/>
      <c r="AD115" s="963"/>
      <c r="AE115" s="963"/>
      <c r="AF115" s="36">
        <v>11</v>
      </c>
    </row>
    <row r="116" s="36" customFormat="1" ht="11.55" customHeight="1" spans="1:32">
      <c r="A116" s="946"/>
      <c r="B116" s="43"/>
      <c r="C116" s="43"/>
      <c r="K116" s="37"/>
      <c r="L116" s="43"/>
      <c r="M116" s="43"/>
      <c r="N116" s="37"/>
      <c r="O116" s="37"/>
      <c r="P116" s="37"/>
      <c r="Q116" s="37"/>
      <c r="R116" s="43"/>
      <c r="S116" s="37"/>
      <c r="T116" s="37"/>
      <c r="U116" s="947"/>
      <c r="V116" s="37"/>
      <c r="W116" s="37"/>
      <c r="X116" s="37"/>
      <c r="Y116" s="37"/>
      <c r="Z116" s="37"/>
      <c r="AA116" s="572"/>
      <c r="AB116" s="963"/>
      <c r="AC116" s="963"/>
      <c r="AD116" s="963"/>
      <c r="AE116" s="963"/>
      <c r="AF116" s="36">
        <v>11</v>
      </c>
    </row>
    <row r="117" s="36" customFormat="1" ht="11.55" customHeight="1" spans="1:32">
      <c r="A117" s="946"/>
      <c r="B117" s="43"/>
      <c r="C117" s="43"/>
      <c r="K117" s="37"/>
      <c r="L117" s="43"/>
      <c r="M117" s="43"/>
      <c r="N117" s="37"/>
      <c r="O117" s="37"/>
      <c r="P117" s="37"/>
      <c r="Q117" s="37"/>
      <c r="R117" s="43"/>
      <c r="S117" s="37"/>
      <c r="T117" s="37"/>
      <c r="U117" s="947"/>
      <c r="V117" s="37"/>
      <c r="W117" s="37"/>
      <c r="X117" s="37"/>
      <c r="Y117" s="37"/>
      <c r="Z117" s="37"/>
      <c r="AA117" s="572"/>
      <c r="AB117" s="963"/>
      <c r="AC117" s="963"/>
      <c r="AD117" s="963"/>
      <c r="AE117" s="963"/>
      <c r="AF117" s="36">
        <v>11</v>
      </c>
    </row>
    <row r="118" s="36" customFormat="1" ht="11.55" customHeight="1" spans="1:32">
      <c r="A118" s="946"/>
      <c r="B118" s="43"/>
      <c r="C118" s="43"/>
      <c r="K118" s="37"/>
      <c r="L118" s="43"/>
      <c r="M118" s="43"/>
      <c r="N118" s="37"/>
      <c r="O118" s="37"/>
      <c r="P118" s="37"/>
      <c r="Q118" s="37"/>
      <c r="R118" s="43"/>
      <c r="S118" s="37"/>
      <c r="T118" s="37"/>
      <c r="U118" s="947"/>
      <c r="V118" s="37"/>
      <c r="W118" s="37"/>
      <c r="X118" s="37"/>
      <c r="Y118" s="37"/>
      <c r="Z118" s="37"/>
      <c r="AA118" s="572"/>
      <c r="AB118" s="963"/>
      <c r="AC118" s="963"/>
      <c r="AD118" s="963"/>
      <c r="AE118" s="963"/>
      <c r="AF118" s="36">
        <v>11</v>
      </c>
    </row>
    <row r="119" s="36" customFormat="1" ht="11.55" customHeight="1" spans="1:32">
      <c r="A119" s="946"/>
      <c r="B119" s="43"/>
      <c r="C119" s="43"/>
      <c r="K119" s="37"/>
      <c r="L119" s="43"/>
      <c r="M119" s="43"/>
      <c r="N119" s="37"/>
      <c r="O119" s="37"/>
      <c r="P119" s="37"/>
      <c r="Q119" s="37"/>
      <c r="R119" s="43"/>
      <c r="S119" s="37"/>
      <c r="T119" s="37"/>
      <c r="U119" s="947"/>
      <c r="V119" s="37"/>
      <c r="W119" s="37"/>
      <c r="X119" s="37"/>
      <c r="Y119" s="37"/>
      <c r="Z119" s="37"/>
      <c r="AA119" s="572"/>
      <c r="AB119" s="963"/>
      <c r="AC119" s="963"/>
      <c r="AD119" s="963"/>
      <c r="AE119" s="963"/>
      <c r="AF119" s="36">
        <v>11</v>
      </c>
    </row>
    <row r="120" s="36" customFormat="1" ht="11.55" customHeight="1" spans="1:32">
      <c r="A120" s="946"/>
      <c r="B120" s="43"/>
      <c r="C120" s="43"/>
      <c r="K120" s="37"/>
      <c r="L120" s="43"/>
      <c r="M120" s="43"/>
      <c r="N120" s="37"/>
      <c r="O120" s="37"/>
      <c r="P120" s="37"/>
      <c r="Q120" s="37"/>
      <c r="R120" s="43"/>
      <c r="S120" s="37"/>
      <c r="T120" s="37"/>
      <c r="U120" s="947"/>
      <c r="V120" s="37"/>
      <c r="W120" s="37"/>
      <c r="X120" s="37"/>
      <c r="Y120" s="37"/>
      <c r="Z120" s="37"/>
      <c r="AA120" s="572"/>
      <c r="AB120" s="963"/>
      <c r="AC120" s="963"/>
      <c r="AD120" s="963"/>
      <c r="AE120" s="963"/>
      <c r="AF120" s="36">
        <v>11</v>
      </c>
    </row>
    <row r="121" s="36" customFormat="1" ht="11.55" customHeight="1" spans="1:32">
      <c r="A121" s="946"/>
      <c r="B121" s="43"/>
      <c r="C121" s="43"/>
      <c r="K121" s="37"/>
      <c r="L121" s="43"/>
      <c r="M121" s="43"/>
      <c r="N121" s="37"/>
      <c r="O121" s="37"/>
      <c r="P121" s="37"/>
      <c r="Q121" s="37"/>
      <c r="R121" s="43"/>
      <c r="S121" s="37"/>
      <c r="T121" s="37"/>
      <c r="U121" s="947"/>
      <c r="V121" s="37"/>
      <c r="W121" s="37"/>
      <c r="X121" s="37"/>
      <c r="Y121" s="37"/>
      <c r="Z121" s="37"/>
      <c r="AA121" s="572"/>
      <c r="AB121" s="963"/>
      <c r="AC121" s="963"/>
      <c r="AD121" s="963"/>
      <c r="AE121" s="963"/>
      <c r="AF121" s="36">
        <v>11</v>
      </c>
    </row>
    <row r="122" s="36" customFormat="1" ht="11.55" customHeight="1" spans="1:32">
      <c r="A122" s="946"/>
      <c r="B122" s="43"/>
      <c r="C122" s="43"/>
      <c r="K122" s="37"/>
      <c r="L122" s="43"/>
      <c r="M122" s="43"/>
      <c r="N122" s="37"/>
      <c r="O122" s="37"/>
      <c r="P122" s="37"/>
      <c r="Q122" s="37"/>
      <c r="R122" s="43"/>
      <c r="S122" s="37"/>
      <c r="T122" s="37"/>
      <c r="U122" s="947"/>
      <c r="V122" s="37"/>
      <c r="W122" s="37"/>
      <c r="X122" s="37"/>
      <c r="Y122" s="37"/>
      <c r="Z122" s="37"/>
      <c r="AA122" s="572"/>
      <c r="AB122" s="963"/>
      <c r="AC122" s="963"/>
      <c r="AD122" s="963"/>
      <c r="AE122" s="963"/>
      <c r="AF122" s="36">
        <v>11</v>
      </c>
    </row>
    <row r="123" s="36" customFormat="1" ht="11.55" customHeight="1" spans="1:32">
      <c r="A123" s="946"/>
      <c r="B123" s="43"/>
      <c r="C123" s="43"/>
      <c r="K123" s="37"/>
      <c r="L123" s="43"/>
      <c r="M123" s="43"/>
      <c r="N123" s="37"/>
      <c r="O123" s="37"/>
      <c r="P123" s="37"/>
      <c r="Q123" s="37"/>
      <c r="R123" s="43"/>
      <c r="S123" s="37"/>
      <c r="T123" s="37"/>
      <c r="U123" s="947"/>
      <c r="V123" s="37"/>
      <c r="W123" s="37"/>
      <c r="X123" s="37"/>
      <c r="Y123" s="37"/>
      <c r="Z123" s="37"/>
      <c r="AA123" s="572"/>
      <c r="AB123" s="963"/>
      <c r="AC123" s="963"/>
      <c r="AD123" s="963"/>
      <c r="AE123" s="963"/>
      <c r="AF123" s="36">
        <v>11</v>
      </c>
    </row>
    <row r="124" s="36" customFormat="1" ht="11.55" customHeight="1" spans="1:32">
      <c r="A124" s="946"/>
      <c r="B124" s="43"/>
      <c r="C124" s="43"/>
      <c r="K124" s="37"/>
      <c r="L124" s="43"/>
      <c r="M124" s="43"/>
      <c r="N124" s="37"/>
      <c r="O124" s="37"/>
      <c r="P124" s="37"/>
      <c r="Q124" s="37"/>
      <c r="R124" s="43"/>
      <c r="S124" s="37"/>
      <c r="T124" s="37"/>
      <c r="U124" s="947"/>
      <c r="V124" s="37"/>
      <c r="W124" s="37"/>
      <c r="X124" s="37"/>
      <c r="Y124" s="37"/>
      <c r="Z124" s="37"/>
      <c r="AA124" s="572"/>
      <c r="AB124" s="963"/>
      <c r="AC124" s="963"/>
      <c r="AD124" s="963"/>
      <c r="AE124" s="963"/>
      <c r="AF124" s="36">
        <v>11</v>
      </c>
    </row>
    <row r="125" s="36" customFormat="1" ht="11.55" customHeight="1" spans="1:32">
      <c r="A125" s="946"/>
      <c r="B125" s="43"/>
      <c r="C125" s="43"/>
      <c r="K125" s="37"/>
      <c r="L125" s="43"/>
      <c r="M125" s="43"/>
      <c r="N125" s="37"/>
      <c r="O125" s="37"/>
      <c r="P125" s="37"/>
      <c r="Q125" s="37"/>
      <c r="R125" s="43"/>
      <c r="S125" s="37"/>
      <c r="T125" s="37"/>
      <c r="U125" s="947"/>
      <c r="V125" s="37"/>
      <c r="W125" s="37"/>
      <c r="X125" s="37"/>
      <c r="Y125" s="37"/>
      <c r="Z125" s="37"/>
      <c r="AA125" s="572"/>
      <c r="AB125" s="963"/>
      <c r="AC125" s="963"/>
      <c r="AD125" s="963"/>
      <c r="AE125" s="963"/>
      <c r="AF125" s="36">
        <v>11</v>
      </c>
    </row>
    <row r="126" s="36" customFormat="1" ht="11.55" customHeight="1" spans="1:32">
      <c r="A126" s="946"/>
      <c r="B126" s="43"/>
      <c r="C126" s="43"/>
      <c r="K126" s="37"/>
      <c r="L126" s="43"/>
      <c r="M126" s="43"/>
      <c r="N126" s="37"/>
      <c r="O126" s="37"/>
      <c r="P126" s="37"/>
      <c r="Q126" s="37"/>
      <c r="R126" s="43"/>
      <c r="S126" s="37"/>
      <c r="T126" s="37"/>
      <c r="U126" s="947"/>
      <c r="V126" s="37"/>
      <c r="W126" s="37"/>
      <c r="X126" s="37"/>
      <c r="Y126" s="37"/>
      <c r="Z126" s="37"/>
      <c r="AA126" s="572"/>
      <c r="AB126" s="963"/>
      <c r="AC126" s="963"/>
      <c r="AD126" s="963"/>
      <c r="AE126" s="963"/>
      <c r="AF126" s="36">
        <v>11</v>
      </c>
    </row>
    <row r="127" s="36" customFormat="1" ht="11.55" customHeight="1" spans="1:32">
      <c r="A127" s="946"/>
      <c r="B127" s="43"/>
      <c r="C127" s="43"/>
      <c r="K127" s="37"/>
      <c r="L127" s="43"/>
      <c r="M127" s="43"/>
      <c r="N127" s="37"/>
      <c r="O127" s="37"/>
      <c r="P127" s="37"/>
      <c r="Q127" s="37"/>
      <c r="R127" s="43"/>
      <c r="S127" s="37"/>
      <c r="T127" s="37"/>
      <c r="U127" s="947"/>
      <c r="V127" s="37"/>
      <c r="W127" s="37"/>
      <c r="X127" s="37"/>
      <c r="Y127" s="37"/>
      <c r="Z127" s="37"/>
      <c r="AA127" s="572"/>
      <c r="AB127" s="963"/>
      <c r="AC127" s="963"/>
      <c r="AD127" s="963"/>
      <c r="AE127" s="963"/>
      <c r="AF127" s="36">
        <v>11</v>
      </c>
    </row>
    <row r="128" s="36" customFormat="1" ht="11.55" customHeight="1" spans="1:32">
      <c r="A128" s="946"/>
      <c r="B128" s="43"/>
      <c r="C128" s="43"/>
      <c r="K128" s="37"/>
      <c r="L128" s="43"/>
      <c r="M128" s="43"/>
      <c r="N128" s="37"/>
      <c r="O128" s="37"/>
      <c r="P128" s="37"/>
      <c r="Q128" s="37"/>
      <c r="R128" s="43"/>
      <c r="S128" s="37"/>
      <c r="T128" s="37"/>
      <c r="U128" s="947"/>
      <c r="V128" s="37"/>
      <c r="W128" s="37"/>
      <c r="X128" s="37"/>
      <c r="Y128" s="37"/>
      <c r="Z128" s="37"/>
      <c r="AA128" s="572"/>
      <c r="AB128" s="963"/>
      <c r="AC128" s="963"/>
      <c r="AD128" s="963"/>
      <c r="AE128" s="963"/>
      <c r="AF128" s="36">
        <v>11</v>
      </c>
    </row>
    <row r="129" s="36" customFormat="1" ht="11.55" customHeight="1" spans="1:32">
      <c r="A129" s="946"/>
      <c r="B129" s="43"/>
      <c r="C129" s="43"/>
      <c r="K129" s="37"/>
      <c r="L129" s="43"/>
      <c r="M129" s="43"/>
      <c r="N129" s="37"/>
      <c r="O129" s="37"/>
      <c r="P129" s="37"/>
      <c r="Q129" s="37"/>
      <c r="R129" s="43"/>
      <c r="S129" s="37"/>
      <c r="T129" s="37"/>
      <c r="U129" s="947"/>
      <c r="V129" s="37"/>
      <c r="W129" s="37"/>
      <c r="X129" s="37"/>
      <c r="Y129" s="37"/>
      <c r="Z129" s="37"/>
      <c r="AA129" s="572"/>
      <c r="AB129" s="963"/>
      <c r="AC129" s="963"/>
      <c r="AD129" s="963"/>
      <c r="AE129" s="963"/>
      <c r="AF129" s="36">
        <v>11</v>
      </c>
    </row>
    <row r="130" s="36" customFormat="1" ht="11.55" customHeight="1" spans="1:32">
      <c r="A130" s="946"/>
      <c r="B130" s="43"/>
      <c r="C130" s="43"/>
      <c r="K130" s="37"/>
      <c r="L130" s="43"/>
      <c r="M130" s="43"/>
      <c r="N130" s="37"/>
      <c r="O130" s="37"/>
      <c r="P130" s="37"/>
      <c r="Q130" s="37"/>
      <c r="R130" s="43"/>
      <c r="S130" s="37"/>
      <c r="T130" s="37"/>
      <c r="U130" s="947"/>
      <c r="V130" s="37"/>
      <c r="W130" s="37"/>
      <c r="X130" s="37"/>
      <c r="Y130" s="37"/>
      <c r="Z130" s="37"/>
      <c r="AA130" s="572"/>
      <c r="AB130" s="963"/>
      <c r="AC130" s="963"/>
      <c r="AD130" s="963"/>
      <c r="AE130" s="963"/>
      <c r="AF130" s="36">
        <v>11</v>
      </c>
    </row>
    <row r="131" s="36" customFormat="1" ht="11.55" customHeight="1" spans="1:32">
      <c r="A131" s="946"/>
      <c r="B131" s="43"/>
      <c r="C131" s="43"/>
      <c r="K131" s="37"/>
      <c r="L131" s="43"/>
      <c r="M131" s="43"/>
      <c r="N131" s="37"/>
      <c r="O131" s="37"/>
      <c r="P131" s="37"/>
      <c r="Q131" s="37"/>
      <c r="R131" s="43"/>
      <c r="S131" s="37"/>
      <c r="T131" s="37"/>
      <c r="U131" s="947"/>
      <c r="V131" s="37"/>
      <c r="W131" s="37"/>
      <c r="X131" s="37"/>
      <c r="Y131" s="37"/>
      <c r="Z131" s="37"/>
      <c r="AA131" s="572"/>
      <c r="AB131" s="963"/>
      <c r="AC131" s="963"/>
      <c r="AD131" s="963"/>
      <c r="AE131" s="963"/>
      <c r="AF131" s="36">
        <v>11</v>
      </c>
    </row>
    <row r="132" s="36" customFormat="1" ht="11.55" customHeight="1" spans="1:32">
      <c r="A132" s="946"/>
      <c r="B132" s="43"/>
      <c r="C132" s="43"/>
      <c r="K132" s="37"/>
      <c r="L132" s="43"/>
      <c r="M132" s="43"/>
      <c r="N132" s="37"/>
      <c r="O132" s="37"/>
      <c r="P132" s="37"/>
      <c r="Q132" s="37"/>
      <c r="R132" s="43"/>
      <c r="S132" s="37"/>
      <c r="T132" s="37"/>
      <c r="U132" s="947"/>
      <c r="V132" s="37"/>
      <c r="W132" s="37"/>
      <c r="X132" s="37"/>
      <c r="Y132" s="37"/>
      <c r="Z132" s="37"/>
      <c r="AA132" s="572"/>
      <c r="AB132" s="963"/>
      <c r="AC132" s="963"/>
      <c r="AD132" s="963"/>
      <c r="AE132" s="963"/>
      <c r="AF132" s="36">
        <v>11</v>
      </c>
    </row>
    <row r="133" s="36" customFormat="1" ht="11.55" customHeight="1" spans="1:32">
      <c r="A133" s="946"/>
      <c r="B133" s="43"/>
      <c r="C133" s="43"/>
      <c r="K133" s="37"/>
      <c r="L133" s="43"/>
      <c r="M133" s="43"/>
      <c r="N133" s="37"/>
      <c r="O133" s="37"/>
      <c r="P133" s="37"/>
      <c r="Q133" s="37"/>
      <c r="R133" s="43"/>
      <c r="S133" s="37"/>
      <c r="T133" s="37"/>
      <c r="U133" s="947"/>
      <c r="V133" s="37"/>
      <c r="W133" s="37"/>
      <c r="X133" s="37"/>
      <c r="Y133" s="37"/>
      <c r="Z133" s="37"/>
      <c r="AA133" s="572"/>
      <c r="AB133" s="963"/>
      <c r="AC133" s="963"/>
      <c r="AD133" s="963"/>
      <c r="AE133" s="963"/>
      <c r="AF133" s="36">
        <v>11</v>
      </c>
    </row>
    <row r="134" s="36" customFormat="1" ht="11.55" customHeight="1" spans="1:32">
      <c r="A134" s="946"/>
      <c r="B134" s="43"/>
      <c r="C134" s="43"/>
      <c r="K134" s="37"/>
      <c r="L134" s="43"/>
      <c r="M134" s="43"/>
      <c r="N134" s="37"/>
      <c r="O134" s="37"/>
      <c r="P134" s="37"/>
      <c r="Q134" s="37"/>
      <c r="R134" s="43"/>
      <c r="S134" s="37"/>
      <c r="T134" s="37"/>
      <c r="U134" s="947"/>
      <c r="V134" s="37"/>
      <c r="W134" s="37"/>
      <c r="X134" s="37"/>
      <c r="Y134" s="37"/>
      <c r="Z134" s="37"/>
      <c r="AA134" s="572"/>
      <c r="AB134" s="963"/>
      <c r="AC134" s="963"/>
      <c r="AD134" s="963"/>
      <c r="AE134" s="963"/>
      <c r="AF134" s="36">
        <v>11</v>
      </c>
    </row>
    <row r="135" s="36" customFormat="1" ht="11.55" customHeight="1" spans="1:32">
      <c r="A135" s="946"/>
      <c r="B135" s="43"/>
      <c r="C135" s="43"/>
      <c r="K135" s="37"/>
      <c r="L135" s="43"/>
      <c r="M135" s="43"/>
      <c r="N135" s="37"/>
      <c r="O135" s="37"/>
      <c r="P135" s="37"/>
      <c r="Q135" s="37"/>
      <c r="R135" s="43"/>
      <c r="S135" s="37"/>
      <c r="T135" s="37"/>
      <c r="U135" s="947"/>
      <c r="V135" s="37"/>
      <c r="W135" s="37"/>
      <c r="X135" s="37"/>
      <c r="Y135" s="37"/>
      <c r="Z135" s="37"/>
      <c r="AA135" s="572"/>
      <c r="AB135" s="963"/>
      <c r="AC135" s="963"/>
      <c r="AD135" s="963"/>
      <c r="AE135" s="963"/>
      <c r="AF135" s="36">
        <v>11</v>
      </c>
    </row>
    <row r="136" s="36" customFormat="1" ht="11.55" customHeight="1" spans="1:32">
      <c r="A136" s="946"/>
      <c r="B136" s="43"/>
      <c r="C136" s="43"/>
      <c r="K136" s="37"/>
      <c r="L136" s="43"/>
      <c r="M136" s="43"/>
      <c r="N136" s="37"/>
      <c r="O136" s="37"/>
      <c r="P136" s="37"/>
      <c r="Q136" s="37"/>
      <c r="R136" s="43"/>
      <c r="S136" s="37"/>
      <c r="T136" s="37"/>
      <c r="U136" s="947"/>
      <c r="V136" s="37"/>
      <c r="W136" s="37"/>
      <c r="X136" s="37"/>
      <c r="Y136" s="37"/>
      <c r="Z136" s="37"/>
      <c r="AA136" s="572"/>
      <c r="AB136" s="963"/>
      <c r="AC136" s="963"/>
      <c r="AD136" s="963"/>
      <c r="AE136" s="963"/>
      <c r="AF136" s="36">
        <v>11</v>
      </c>
    </row>
    <row r="137" s="36" customFormat="1" ht="11.55" customHeight="1" spans="1:32">
      <c r="A137" s="946"/>
      <c r="B137" s="43"/>
      <c r="C137" s="43"/>
      <c r="K137" s="37"/>
      <c r="L137" s="43"/>
      <c r="M137" s="43"/>
      <c r="N137" s="37"/>
      <c r="O137" s="37"/>
      <c r="P137" s="37"/>
      <c r="Q137" s="37"/>
      <c r="R137" s="43"/>
      <c r="S137" s="37"/>
      <c r="T137" s="37"/>
      <c r="U137" s="947"/>
      <c r="V137" s="37"/>
      <c r="W137" s="37"/>
      <c r="X137" s="37"/>
      <c r="Y137" s="37"/>
      <c r="Z137" s="37"/>
      <c r="AA137" s="572"/>
      <c r="AB137" s="963"/>
      <c r="AC137" s="963"/>
      <c r="AD137" s="963"/>
      <c r="AE137" s="963"/>
      <c r="AF137" s="36">
        <v>11</v>
      </c>
    </row>
    <row r="138" s="36" customFormat="1" ht="11.55" customHeight="1" spans="1:32">
      <c r="A138" s="946"/>
      <c r="B138" s="43"/>
      <c r="C138" s="43"/>
      <c r="K138" s="37"/>
      <c r="L138" s="43"/>
      <c r="M138" s="43"/>
      <c r="N138" s="37"/>
      <c r="O138" s="37"/>
      <c r="P138" s="37"/>
      <c r="Q138" s="37"/>
      <c r="R138" s="43"/>
      <c r="S138" s="37"/>
      <c r="T138" s="37"/>
      <c r="U138" s="947"/>
      <c r="V138" s="37"/>
      <c r="W138" s="37"/>
      <c r="X138" s="37"/>
      <c r="Y138" s="37"/>
      <c r="Z138" s="37"/>
      <c r="AA138" s="572"/>
      <c r="AB138" s="963"/>
      <c r="AC138" s="963"/>
      <c r="AD138" s="963"/>
      <c r="AE138" s="963"/>
      <c r="AF138" s="36">
        <v>11</v>
      </c>
    </row>
    <row r="139" s="36" customFormat="1" ht="11.55" customHeight="1" spans="1:32">
      <c r="A139" s="946"/>
      <c r="B139" s="43"/>
      <c r="C139" s="43"/>
      <c r="K139" s="37"/>
      <c r="L139" s="43"/>
      <c r="M139" s="43"/>
      <c r="N139" s="37"/>
      <c r="O139" s="37"/>
      <c r="P139" s="37"/>
      <c r="Q139" s="37"/>
      <c r="R139" s="43"/>
      <c r="S139" s="37"/>
      <c r="T139" s="37"/>
      <c r="U139" s="947"/>
      <c r="V139" s="37"/>
      <c r="W139" s="37"/>
      <c r="X139" s="37"/>
      <c r="Y139" s="37"/>
      <c r="Z139" s="37"/>
      <c r="AA139" s="572"/>
      <c r="AB139" s="963"/>
      <c r="AC139" s="963"/>
      <c r="AD139" s="963"/>
      <c r="AE139" s="963"/>
      <c r="AF139" s="36">
        <v>11</v>
      </c>
    </row>
    <row r="140" s="36" customFormat="1" ht="11.55" customHeight="1" spans="1:32">
      <c r="A140" s="946"/>
      <c r="B140" s="43"/>
      <c r="C140" s="43"/>
      <c r="K140" s="37"/>
      <c r="L140" s="43"/>
      <c r="M140" s="43"/>
      <c r="N140" s="37"/>
      <c r="O140" s="37"/>
      <c r="P140" s="37"/>
      <c r="Q140" s="37"/>
      <c r="R140" s="43"/>
      <c r="S140" s="37"/>
      <c r="T140" s="37"/>
      <c r="U140" s="947"/>
      <c r="V140" s="37"/>
      <c r="W140" s="37"/>
      <c r="X140" s="37"/>
      <c r="Y140" s="37"/>
      <c r="Z140" s="37"/>
      <c r="AA140" s="572"/>
      <c r="AB140" s="963"/>
      <c r="AC140" s="963"/>
      <c r="AD140" s="963"/>
      <c r="AE140" s="963"/>
      <c r="AF140" s="36">
        <v>11</v>
      </c>
    </row>
    <row r="141" s="36" customFormat="1" ht="11.55" customHeight="1" spans="1:32">
      <c r="A141" s="946"/>
      <c r="B141" s="43"/>
      <c r="C141" s="43"/>
      <c r="K141" s="37"/>
      <c r="L141" s="43"/>
      <c r="M141" s="43"/>
      <c r="N141" s="37"/>
      <c r="O141" s="37"/>
      <c r="P141" s="37"/>
      <c r="Q141" s="37"/>
      <c r="R141" s="43"/>
      <c r="S141" s="37"/>
      <c r="T141" s="37"/>
      <c r="U141" s="947"/>
      <c r="V141" s="37"/>
      <c r="W141" s="37"/>
      <c r="X141" s="37"/>
      <c r="Y141" s="37"/>
      <c r="Z141" s="37"/>
      <c r="AA141" s="572"/>
      <c r="AB141" s="963"/>
      <c r="AC141" s="963"/>
      <c r="AD141" s="963"/>
      <c r="AE141" s="963"/>
      <c r="AF141" s="36">
        <v>11</v>
      </c>
    </row>
    <row r="142" s="36" customFormat="1" ht="11.55" customHeight="1" spans="1:32">
      <c r="A142" s="946"/>
      <c r="B142" s="43"/>
      <c r="C142" s="43"/>
      <c r="K142" s="37"/>
      <c r="L142" s="43"/>
      <c r="M142" s="43"/>
      <c r="N142" s="37"/>
      <c r="O142" s="37"/>
      <c r="P142" s="37"/>
      <c r="Q142" s="37"/>
      <c r="R142" s="43"/>
      <c r="S142" s="37"/>
      <c r="T142" s="37"/>
      <c r="U142" s="947"/>
      <c r="V142" s="37"/>
      <c r="W142" s="37"/>
      <c r="X142" s="37"/>
      <c r="Y142" s="37"/>
      <c r="Z142" s="37"/>
      <c r="AA142" s="572"/>
      <c r="AB142" s="963"/>
      <c r="AC142" s="963"/>
      <c r="AD142" s="963"/>
      <c r="AE142" s="963"/>
      <c r="AF142" s="36">
        <v>11</v>
      </c>
    </row>
    <row r="143" s="36" customFormat="1" ht="11.55" customHeight="1" spans="1:32">
      <c r="A143" s="946"/>
      <c r="B143" s="43"/>
      <c r="C143" s="43"/>
      <c r="K143" s="37"/>
      <c r="L143" s="43"/>
      <c r="M143" s="43"/>
      <c r="N143" s="37"/>
      <c r="O143" s="37"/>
      <c r="P143" s="37"/>
      <c r="Q143" s="37"/>
      <c r="R143" s="43"/>
      <c r="S143" s="37"/>
      <c r="T143" s="37"/>
      <c r="U143" s="947"/>
      <c r="V143" s="37"/>
      <c r="W143" s="37"/>
      <c r="X143" s="37"/>
      <c r="Y143" s="37"/>
      <c r="Z143" s="37"/>
      <c r="AA143" s="572"/>
      <c r="AB143" s="963"/>
      <c r="AC143" s="963"/>
      <c r="AD143" s="963"/>
      <c r="AE143" s="963"/>
      <c r="AF143" s="36">
        <v>11</v>
      </c>
    </row>
    <row r="144" s="36" customFormat="1" ht="11.55" customHeight="1" spans="1:32">
      <c r="A144" s="946"/>
      <c r="B144" s="43"/>
      <c r="C144" s="43"/>
      <c r="K144" s="37"/>
      <c r="L144" s="43"/>
      <c r="M144" s="43"/>
      <c r="N144" s="37"/>
      <c r="O144" s="37"/>
      <c r="P144" s="37"/>
      <c r="Q144" s="37"/>
      <c r="R144" s="43"/>
      <c r="S144" s="37"/>
      <c r="T144" s="37"/>
      <c r="U144" s="947"/>
      <c r="V144" s="37"/>
      <c r="W144" s="37"/>
      <c r="X144" s="37"/>
      <c r="Y144" s="37"/>
      <c r="Z144" s="37"/>
      <c r="AA144" s="572"/>
      <c r="AB144" s="963"/>
      <c r="AC144" s="963"/>
      <c r="AD144" s="963"/>
      <c r="AE144" s="963"/>
      <c r="AF144" s="36">
        <v>11</v>
      </c>
    </row>
    <row r="145" s="36" customFormat="1" ht="11.55" customHeight="1" spans="1:32">
      <c r="A145" s="946"/>
      <c r="B145" s="43"/>
      <c r="C145" s="43"/>
      <c r="K145" s="37"/>
      <c r="L145" s="43"/>
      <c r="M145" s="43"/>
      <c r="N145" s="37"/>
      <c r="O145" s="37"/>
      <c r="P145" s="37"/>
      <c r="Q145" s="37"/>
      <c r="R145" s="43"/>
      <c r="S145" s="37"/>
      <c r="T145" s="37"/>
      <c r="U145" s="947"/>
      <c r="V145" s="37"/>
      <c r="W145" s="37"/>
      <c r="X145" s="37"/>
      <c r="Y145" s="37"/>
      <c r="Z145" s="37"/>
      <c r="AA145" s="572"/>
      <c r="AB145" s="963"/>
      <c r="AC145" s="963"/>
      <c r="AD145" s="963"/>
      <c r="AE145" s="963"/>
      <c r="AF145" s="36">
        <v>11</v>
      </c>
    </row>
    <row r="146" s="36" customFormat="1" ht="11.55" customHeight="1" spans="1:32">
      <c r="A146" s="946"/>
      <c r="B146" s="43"/>
      <c r="C146" s="43"/>
      <c r="K146" s="37"/>
      <c r="L146" s="43"/>
      <c r="M146" s="43"/>
      <c r="N146" s="37"/>
      <c r="O146" s="37"/>
      <c r="P146" s="37"/>
      <c r="Q146" s="37"/>
      <c r="R146" s="43"/>
      <c r="S146" s="37"/>
      <c r="T146" s="37"/>
      <c r="U146" s="947"/>
      <c r="V146" s="37"/>
      <c r="W146" s="37"/>
      <c r="X146" s="37"/>
      <c r="Y146" s="37"/>
      <c r="Z146" s="37"/>
      <c r="AA146" s="572"/>
      <c r="AB146" s="963"/>
      <c r="AC146" s="963"/>
      <c r="AD146" s="963"/>
      <c r="AE146" s="963"/>
      <c r="AF146" s="36">
        <v>11</v>
      </c>
    </row>
    <row r="147" s="36" customFormat="1" ht="11.55" customHeight="1" spans="1:32">
      <c r="A147" s="946"/>
      <c r="B147" s="43"/>
      <c r="C147" s="43"/>
      <c r="K147" s="37"/>
      <c r="L147" s="43"/>
      <c r="M147" s="43"/>
      <c r="N147" s="37"/>
      <c r="O147" s="37"/>
      <c r="P147" s="37"/>
      <c r="Q147" s="37"/>
      <c r="R147" s="43"/>
      <c r="S147" s="37"/>
      <c r="T147" s="37"/>
      <c r="U147" s="947"/>
      <c r="V147" s="37"/>
      <c r="W147" s="37"/>
      <c r="X147" s="37"/>
      <c r="Y147" s="37"/>
      <c r="Z147" s="37"/>
      <c r="AA147" s="572"/>
      <c r="AB147" s="963"/>
      <c r="AC147" s="963"/>
      <c r="AD147" s="963"/>
      <c r="AE147" s="963"/>
      <c r="AF147" s="36">
        <v>11</v>
      </c>
    </row>
    <row r="148" s="36" customFormat="1" ht="11.55" customHeight="1" spans="1:32">
      <c r="A148" s="946"/>
      <c r="B148" s="43"/>
      <c r="C148" s="43"/>
      <c r="K148" s="37"/>
      <c r="L148" s="43"/>
      <c r="M148" s="43"/>
      <c r="N148" s="37"/>
      <c r="O148" s="37"/>
      <c r="P148" s="37"/>
      <c r="Q148" s="37"/>
      <c r="R148" s="43"/>
      <c r="S148" s="37"/>
      <c r="T148" s="37"/>
      <c r="U148" s="947"/>
      <c r="V148" s="37"/>
      <c r="W148" s="37"/>
      <c r="X148" s="37"/>
      <c r="Y148" s="37"/>
      <c r="Z148" s="37"/>
      <c r="AA148" s="572"/>
      <c r="AB148" s="963"/>
      <c r="AC148" s="963"/>
      <c r="AD148" s="963"/>
      <c r="AE148" s="963"/>
      <c r="AF148" s="36">
        <v>11</v>
      </c>
    </row>
    <row r="149" s="36" customFormat="1" ht="11.55" customHeight="1" spans="1:32">
      <c r="A149" s="946"/>
      <c r="B149" s="43"/>
      <c r="C149" s="43"/>
      <c r="K149" s="37"/>
      <c r="L149" s="43"/>
      <c r="M149" s="43"/>
      <c r="N149" s="37"/>
      <c r="O149" s="37"/>
      <c r="P149" s="37"/>
      <c r="Q149" s="37"/>
      <c r="R149" s="43"/>
      <c r="S149" s="37"/>
      <c r="T149" s="37"/>
      <c r="U149" s="947"/>
      <c r="V149" s="37"/>
      <c r="W149" s="37"/>
      <c r="X149" s="37"/>
      <c r="Y149" s="37"/>
      <c r="Z149" s="37"/>
      <c r="AA149" s="572"/>
      <c r="AB149" s="963"/>
      <c r="AC149" s="963"/>
      <c r="AD149" s="963"/>
      <c r="AE149" s="963"/>
      <c r="AF149" s="36">
        <v>11</v>
      </c>
    </row>
    <row r="150" s="36" customFormat="1" ht="11.55" customHeight="1" spans="1:32">
      <c r="A150" s="946"/>
      <c r="B150" s="43"/>
      <c r="C150" s="43"/>
      <c r="K150" s="37"/>
      <c r="L150" s="43"/>
      <c r="M150" s="43"/>
      <c r="N150" s="37"/>
      <c r="O150" s="37"/>
      <c r="P150" s="37"/>
      <c r="Q150" s="37"/>
      <c r="R150" s="43"/>
      <c r="S150" s="37"/>
      <c r="T150" s="37"/>
      <c r="U150" s="947"/>
      <c r="V150" s="37"/>
      <c r="W150" s="37"/>
      <c r="X150" s="37"/>
      <c r="Y150" s="37"/>
      <c r="Z150" s="37"/>
      <c r="AA150" s="572"/>
      <c r="AB150" s="963"/>
      <c r="AC150" s="963"/>
      <c r="AD150" s="963"/>
      <c r="AE150" s="963"/>
      <c r="AF150" s="36">
        <v>11</v>
      </c>
    </row>
    <row r="151" s="36" customFormat="1" ht="11.55" customHeight="1" spans="1:32">
      <c r="A151" s="946"/>
      <c r="B151" s="43"/>
      <c r="C151" s="43"/>
      <c r="K151" s="37"/>
      <c r="L151" s="43"/>
      <c r="M151" s="43"/>
      <c r="N151" s="37"/>
      <c r="O151" s="37"/>
      <c r="P151" s="37"/>
      <c r="Q151" s="37"/>
      <c r="R151" s="43"/>
      <c r="S151" s="37"/>
      <c r="T151" s="37"/>
      <c r="U151" s="947"/>
      <c r="V151" s="37"/>
      <c r="W151" s="37"/>
      <c r="X151" s="37"/>
      <c r="Y151" s="37"/>
      <c r="Z151" s="37"/>
      <c r="AA151" s="572"/>
      <c r="AB151" s="963"/>
      <c r="AC151" s="963"/>
      <c r="AD151" s="963"/>
      <c r="AE151" s="963"/>
      <c r="AF151" s="36">
        <v>11</v>
      </c>
    </row>
    <row r="152" s="36" customFormat="1" ht="11.55" customHeight="1" spans="1:32">
      <c r="A152" s="946"/>
      <c r="B152" s="43"/>
      <c r="C152" s="43"/>
      <c r="K152" s="37"/>
      <c r="L152" s="43"/>
      <c r="M152" s="43"/>
      <c r="N152" s="37"/>
      <c r="O152" s="37"/>
      <c r="P152" s="37"/>
      <c r="Q152" s="37"/>
      <c r="R152" s="43"/>
      <c r="S152" s="37"/>
      <c r="T152" s="37"/>
      <c r="U152" s="947"/>
      <c r="V152" s="37"/>
      <c r="W152" s="37"/>
      <c r="X152" s="37"/>
      <c r="Y152" s="37"/>
      <c r="Z152" s="37"/>
      <c r="AA152" s="572"/>
      <c r="AB152" s="963"/>
      <c r="AC152" s="963"/>
      <c r="AD152" s="963"/>
      <c r="AE152" s="963"/>
      <c r="AF152" s="36">
        <v>11</v>
      </c>
    </row>
    <row r="153" s="36" customFormat="1" ht="11.55" customHeight="1" spans="1:32">
      <c r="A153" s="946"/>
      <c r="B153" s="43"/>
      <c r="C153" s="43"/>
      <c r="K153" s="37"/>
      <c r="L153" s="43"/>
      <c r="M153" s="43"/>
      <c r="N153" s="37"/>
      <c r="O153" s="37"/>
      <c r="P153" s="37"/>
      <c r="Q153" s="37"/>
      <c r="R153" s="43"/>
      <c r="S153" s="37"/>
      <c r="T153" s="37"/>
      <c r="U153" s="947"/>
      <c r="V153" s="37"/>
      <c r="W153" s="37"/>
      <c r="X153" s="37"/>
      <c r="Y153" s="37"/>
      <c r="Z153" s="37"/>
      <c r="AA153" s="572"/>
      <c r="AB153" s="963"/>
      <c r="AC153" s="963"/>
      <c r="AD153" s="963"/>
      <c r="AE153" s="963"/>
      <c r="AF153" s="36">
        <v>11</v>
      </c>
    </row>
    <row r="154" s="36" customFormat="1" ht="11.55" customHeight="1" spans="1:32">
      <c r="A154" s="946"/>
      <c r="B154" s="43"/>
      <c r="C154" s="43"/>
      <c r="K154" s="37"/>
      <c r="L154" s="43"/>
      <c r="M154" s="43"/>
      <c r="N154" s="37"/>
      <c r="O154" s="37"/>
      <c r="P154" s="37"/>
      <c r="Q154" s="37"/>
      <c r="R154" s="43"/>
      <c r="S154" s="37"/>
      <c r="T154" s="37"/>
      <c r="U154" s="947"/>
      <c r="V154" s="37"/>
      <c r="W154" s="37"/>
      <c r="X154" s="37"/>
      <c r="Y154" s="37"/>
      <c r="Z154" s="37"/>
      <c r="AA154" s="572"/>
      <c r="AB154" s="963"/>
      <c r="AC154" s="963"/>
      <c r="AD154" s="963"/>
      <c r="AE154" s="963"/>
      <c r="AF154" s="36">
        <v>11</v>
      </c>
    </row>
    <row r="155" s="36" customFormat="1" ht="11.55" customHeight="1" spans="1:32">
      <c r="A155" s="946"/>
      <c r="B155" s="43"/>
      <c r="C155" s="43"/>
      <c r="K155" s="37"/>
      <c r="L155" s="43"/>
      <c r="M155" s="43"/>
      <c r="N155" s="37"/>
      <c r="O155" s="37"/>
      <c r="P155" s="37"/>
      <c r="Q155" s="37"/>
      <c r="R155" s="43"/>
      <c r="S155" s="37"/>
      <c r="T155" s="37"/>
      <c r="U155" s="947"/>
      <c r="V155" s="37"/>
      <c r="W155" s="37"/>
      <c r="X155" s="37"/>
      <c r="Y155" s="37"/>
      <c r="Z155" s="37"/>
      <c r="AA155" s="572"/>
      <c r="AB155" s="963"/>
      <c r="AC155" s="963"/>
      <c r="AD155" s="963"/>
      <c r="AE155" s="963"/>
      <c r="AF155" s="36">
        <v>11</v>
      </c>
    </row>
    <row r="156" s="36" customFormat="1" ht="11.55" customHeight="1" spans="1:32">
      <c r="A156" s="946"/>
      <c r="B156" s="43"/>
      <c r="C156" s="43"/>
      <c r="K156" s="37"/>
      <c r="L156" s="43"/>
      <c r="M156" s="43"/>
      <c r="N156" s="37"/>
      <c r="O156" s="37"/>
      <c r="P156" s="37"/>
      <c r="Q156" s="37"/>
      <c r="R156" s="43"/>
      <c r="S156" s="37"/>
      <c r="T156" s="37"/>
      <c r="U156" s="947"/>
      <c r="V156" s="37"/>
      <c r="W156" s="37"/>
      <c r="X156" s="37"/>
      <c r="Y156" s="37"/>
      <c r="Z156" s="37"/>
      <c r="AA156" s="572"/>
      <c r="AB156" s="963"/>
      <c r="AC156" s="963"/>
      <c r="AD156" s="963"/>
      <c r="AE156" s="963"/>
      <c r="AF156" s="36">
        <v>11</v>
      </c>
    </row>
    <row r="157" s="36" customFormat="1" ht="11.55" customHeight="1" spans="1:32">
      <c r="A157" s="946"/>
      <c r="B157" s="43"/>
      <c r="C157" s="43"/>
      <c r="K157" s="37"/>
      <c r="L157" s="43"/>
      <c r="M157" s="43"/>
      <c r="N157" s="37"/>
      <c r="O157" s="37"/>
      <c r="P157" s="37"/>
      <c r="Q157" s="37"/>
      <c r="R157" s="43"/>
      <c r="S157" s="37"/>
      <c r="T157" s="37"/>
      <c r="U157" s="947"/>
      <c r="V157" s="37"/>
      <c r="W157" s="37"/>
      <c r="X157" s="37"/>
      <c r="Y157" s="37"/>
      <c r="Z157" s="37"/>
      <c r="AA157" s="572"/>
      <c r="AB157" s="963"/>
      <c r="AC157" s="963"/>
      <c r="AD157" s="963"/>
      <c r="AE157" s="963"/>
      <c r="AF157" s="36">
        <v>11</v>
      </c>
    </row>
    <row r="158" s="36" customFormat="1" ht="11.55" customHeight="1" spans="1:32">
      <c r="A158" s="946"/>
      <c r="B158" s="43"/>
      <c r="C158" s="43"/>
      <c r="K158" s="37"/>
      <c r="L158" s="43"/>
      <c r="M158" s="43"/>
      <c r="N158" s="37"/>
      <c r="O158" s="37"/>
      <c r="P158" s="37"/>
      <c r="Q158" s="37"/>
      <c r="R158" s="43"/>
      <c r="S158" s="37"/>
      <c r="T158" s="37"/>
      <c r="U158" s="947"/>
      <c r="V158" s="37"/>
      <c r="W158" s="37"/>
      <c r="X158" s="37"/>
      <c r="Y158" s="37"/>
      <c r="Z158" s="37"/>
      <c r="AA158" s="572"/>
      <c r="AB158" s="963"/>
      <c r="AC158" s="963"/>
      <c r="AD158" s="963"/>
      <c r="AE158" s="963"/>
      <c r="AF158" s="36">
        <v>11</v>
      </c>
    </row>
    <row r="159" s="36" customFormat="1" ht="11.55" customHeight="1" spans="1:32">
      <c r="A159" s="946"/>
      <c r="B159" s="43"/>
      <c r="C159" s="43"/>
      <c r="K159" s="37"/>
      <c r="L159" s="43"/>
      <c r="M159" s="43"/>
      <c r="N159" s="37"/>
      <c r="O159" s="37"/>
      <c r="P159" s="37"/>
      <c r="Q159" s="37"/>
      <c r="R159" s="43"/>
      <c r="S159" s="37"/>
      <c r="T159" s="37"/>
      <c r="U159" s="947"/>
      <c r="V159" s="37"/>
      <c r="W159" s="37"/>
      <c r="X159" s="37"/>
      <c r="Y159" s="37"/>
      <c r="Z159" s="37"/>
      <c r="AA159" s="572"/>
      <c r="AB159" s="963"/>
      <c r="AC159" s="963"/>
      <c r="AD159" s="963"/>
      <c r="AE159" s="963"/>
      <c r="AF159" s="36">
        <v>11</v>
      </c>
    </row>
    <row r="160" s="36" customFormat="1" ht="11.55" customHeight="1" spans="1:32">
      <c r="A160" s="946"/>
      <c r="B160" s="43"/>
      <c r="C160" s="43"/>
      <c r="K160" s="37"/>
      <c r="L160" s="43"/>
      <c r="M160" s="43"/>
      <c r="N160" s="37"/>
      <c r="O160" s="37"/>
      <c r="P160" s="37"/>
      <c r="Q160" s="37"/>
      <c r="R160" s="43"/>
      <c r="S160" s="37"/>
      <c r="T160" s="37"/>
      <c r="U160" s="947"/>
      <c r="V160" s="37"/>
      <c r="W160" s="37"/>
      <c r="X160" s="37"/>
      <c r="Y160" s="37"/>
      <c r="Z160" s="37"/>
      <c r="AA160" s="572"/>
      <c r="AB160" s="963"/>
      <c r="AC160" s="963"/>
      <c r="AD160" s="963"/>
      <c r="AE160" s="963"/>
      <c r="AF160" s="36">
        <v>11</v>
      </c>
    </row>
    <row r="161" s="36" customFormat="1" ht="11.55" customHeight="1" spans="1:32">
      <c r="A161" s="946"/>
      <c r="B161" s="43"/>
      <c r="C161" s="43"/>
      <c r="K161" s="37"/>
      <c r="L161" s="43"/>
      <c r="M161" s="43"/>
      <c r="N161" s="37"/>
      <c r="O161" s="37"/>
      <c r="P161" s="37"/>
      <c r="Q161" s="37"/>
      <c r="R161" s="43"/>
      <c r="S161" s="37"/>
      <c r="T161" s="37"/>
      <c r="U161" s="947"/>
      <c r="V161" s="37"/>
      <c r="W161" s="37"/>
      <c r="X161" s="37"/>
      <c r="Y161" s="37"/>
      <c r="Z161" s="37"/>
      <c r="AA161" s="572"/>
      <c r="AB161" s="963"/>
      <c r="AC161" s="963"/>
      <c r="AD161" s="963"/>
      <c r="AE161" s="963"/>
      <c r="AF161" s="36">
        <v>11</v>
      </c>
    </row>
    <row r="162" s="36" customFormat="1" ht="11.55" customHeight="1" spans="1:32">
      <c r="A162" s="946"/>
      <c r="B162" s="43"/>
      <c r="C162" s="43"/>
      <c r="K162" s="37"/>
      <c r="L162" s="43"/>
      <c r="M162" s="43"/>
      <c r="N162" s="37"/>
      <c r="O162" s="37"/>
      <c r="P162" s="37"/>
      <c r="Q162" s="37"/>
      <c r="R162" s="43"/>
      <c r="S162" s="37"/>
      <c r="T162" s="37"/>
      <c r="U162" s="947"/>
      <c r="V162" s="37"/>
      <c r="W162" s="37"/>
      <c r="X162" s="37"/>
      <c r="Y162" s="37"/>
      <c r="Z162" s="37"/>
      <c r="AA162" s="572"/>
      <c r="AB162" s="963"/>
      <c r="AC162" s="963"/>
      <c r="AD162" s="963"/>
      <c r="AE162" s="963"/>
      <c r="AF162" s="36">
        <v>11</v>
      </c>
    </row>
    <row r="163" s="36" customFormat="1" ht="11.55" customHeight="1" spans="1:32">
      <c r="A163" s="946"/>
      <c r="B163" s="43"/>
      <c r="C163" s="43"/>
      <c r="K163" s="37"/>
      <c r="L163" s="43"/>
      <c r="M163" s="43"/>
      <c r="N163" s="37"/>
      <c r="O163" s="37"/>
      <c r="P163" s="37"/>
      <c r="Q163" s="37"/>
      <c r="R163" s="43"/>
      <c r="S163" s="37"/>
      <c r="T163" s="37"/>
      <c r="U163" s="947"/>
      <c r="V163" s="37"/>
      <c r="W163" s="37"/>
      <c r="X163" s="37"/>
      <c r="Y163" s="37"/>
      <c r="Z163" s="37"/>
      <c r="AA163" s="572"/>
      <c r="AB163" s="963"/>
      <c r="AC163" s="963"/>
      <c r="AD163" s="963"/>
      <c r="AE163" s="963"/>
      <c r="AF163" s="36">
        <v>11</v>
      </c>
    </row>
    <row r="164" s="36" customFormat="1" ht="11.55" customHeight="1" spans="1:32">
      <c r="A164" s="946"/>
      <c r="B164" s="43"/>
      <c r="C164" s="43"/>
      <c r="K164" s="37"/>
      <c r="L164" s="43"/>
      <c r="M164" s="43"/>
      <c r="N164" s="37"/>
      <c r="O164" s="37"/>
      <c r="P164" s="37"/>
      <c r="Q164" s="37"/>
      <c r="R164" s="43"/>
      <c r="S164" s="37"/>
      <c r="T164" s="37"/>
      <c r="U164" s="947"/>
      <c r="V164" s="37"/>
      <c r="W164" s="37"/>
      <c r="X164" s="37"/>
      <c r="Y164" s="37"/>
      <c r="Z164" s="37"/>
      <c r="AA164" s="572"/>
      <c r="AB164" s="963"/>
      <c r="AC164" s="963"/>
      <c r="AD164" s="963"/>
      <c r="AE164" s="963"/>
      <c r="AF164" s="36">
        <v>11</v>
      </c>
    </row>
    <row r="165" s="36" customFormat="1" ht="11.55" customHeight="1" spans="1:32">
      <c r="A165" s="946"/>
      <c r="B165" s="43"/>
      <c r="C165" s="43"/>
      <c r="K165" s="37"/>
      <c r="L165" s="43"/>
      <c r="M165" s="43"/>
      <c r="N165" s="37"/>
      <c r="O165" s="37"/>
      <c r="P165" s="37"/>
      <c r="Q165" s="37"/>
      <c r="R165" s="43"/>
      <c r="S165" s="37"/>
      <c r="T165" s="37"/>
      <c r="U165" s="947"/>
      <c r="V165" s="37"/>
      <c r="W165" s="37"/>
      <c r="X165" s="37"/>
      <c r="Y165" s="37"/>
      <c r="Z165" s="37"/>
      <c r="AA165" s="572"/>
      <c r="AB165" s="963"/>
      <c r="AC165" s="963"/>
      <c r="AD165" s="963"/>
      <c r="AE165" s="963"/>
      <c r="AF165" s="36">
        <v>11</v>
      </c>
    </row>
    <row r="166" s="36" customFormat="1" ht="11.55" customHeight="1" spans="1:32">
      <c r="A166" s="946"/>
      <c r="B166" s="43"/>
      <c r="C166" s="43"/>
      <c r="K166" s="37"/>
      <c r="L166" s="43"/>
      <c r="M166" s="43"/>
      <c r="N166" s="37"/>
      <c r="O166" s="37"/>
      <c r="P166" s="37"/>
      <c r="Q166" s="37"/>
      <c r="R166" s="43"/>
      <c r="S166" s="37"/>
      <c r="T166" s="37"/>
      <c r="U166" s="947"/>
      <c r="V166" s="37"/>
      <c r="W166" s="37"/>
      <c r="X166" s="37"/>
      <c r="Y166" s="37"/>
      <c r="Z166" s="37"/>
      <c r="AA166" s="572"/>
      <c r="AB166" s="963"/>
      <c r="AC166" s="963"/>
      <c r="AD166" s="963"/>
      <c r="AE166" s="963"/>
      <c r="AF166" s="36">
        <v>11</v>
      </c>
    </row>
    <row r="167" s="36" customFormat="1" ht="11.55" customHeight="1" spans="1:32">
      <c r="A167" s="946"/>
      <c r="B167" s="43"/>
      <c r="C167" s="43"/>
      <c r="K167" s="37"/>
      <c r="L167" s="43"/>
      <c r="M167" s="43"/>
      <c r="N167" s="37"/>
      <c r="O167" s="37"/>
      <c r="P167" s="37"/>
      <c r="Q167" s="37"/>
      <c r="R167" s="43"/>
      <c r="S167" s="37"/>
      <c r="T167" s="37"/>
      <c r="U167" s="947"/>
      <c r="V167" s="37"/>
      <c r="W167" s="37"/>
      <c r="X167" s="37"/>
      <c r="Y167" s="37"/>
      <c r="Z167" s="37"/>
      <c r="AA167" s="572"/>
      <c r="AB167" s="963"/>
      <c r="AC167" s="963"/>
      <c r="AD167" s="963"/>
      <c r="AE167" s="963"/>
      <c r="AF167" s="36">
        <v>11</v>
      </c>
    </row>
    <row r="168" s="36" customFormat="1" ht="11.55" customHeight="1" spans="1:32">
      <c r="A168" s="946"/>
      <c r="B168" s="43"/>
      <c r="C168" s="43"/>
      <c r="K168" s="37"/>
      <c r="L168" s="43"/>
      <c r="M168" s="43"/>
      <c r="N168" s="37"/>
      <c r="O168" s="37"/>
      <c r="P168" s="37"/>
      <c r="Q168" s="37"/>
      <c r="R168" s="43"/>
      <c r="S168" s="37"/>
      <c r="T168" s="37"/>
      <c r="U168" s="947"/>
      <c r="V168" s="37"/>
      <c r="W168" s="37"/>
      <c r="X168" s="37"/>
      <c r="Y168" s="37"/>
      <c r="Z168" s="37"/>
      <c r="AA168" s="572"/>
      <c r="AB168" s="963"/>
      <c r="AC168" s="963"/>
      <c r="AD168" s="963"/>
      <c r="AE168" s="963"/>
      <c r="AF168" s="36">
        <v>11</v>
      </c>
    </row>
    <row r="169" s="36" customFormat="1" ht="11.55" customHeight="1" spans="1:32">
      <c r="A169" s="946"/>
      <c r="B169" s="43"/>
      <c r="C169" s="43"/>
      <c r="K169" s="37"/>
      <c r="L169" s="43"/>
      <c r="M169" s="43"/>
      <c r="N169" s="37"/>
      <c r="O169" s="37"/>
      <c r="P169" s="37"/>
      <c r="Q169" s="37"/>
      <c r="R169" s="43"/>
      <c r="S169" s="37"/>
      <c r="T169" s="37"/>
      <c r="U169" s="947"/>
      <c r="V169" s="37"/>
      <c r="W169" s="37"/>
      <c r="X169" s="37"/>
      <c r="Y169" s="37"/>
      <c r="Z169" s="37"/>
      <c r="AA169" s="572"/>
      <c r="AB169" s="963"/>
      <c r="AC169" s="963"/>
      <c r="AD169" s="963"/>
      <c r="AE169" s="963"/>
      <c r="AF169" s="36">
        <v>11</v>
      </c>
    </row>
    <row r="170" s="36" customFormat="1" ht="11.55" customHeight="1" spans="1:32">
      <c r="A170" s="946"/>
      <c r="B170" s="43"/>
      <c r="C170" s="43"/>
      <c r="K170" s="37"/>
      <c r="L170" s="43"/>
      <c r="M170" s="43"/>
      <c r="N170" s="37"/>
      <c r="O170" s="37"/>
      <c r="P170" s="37"/>
      <c r="Q170" s="37"/>
      <c r="R170" s="43"/>
      <c r="S170" s="37"/>
      <c r="T170" s="37"/>
      <c r="U170" s="947"/>
      <c r="V170" s="37"/>
      <c r="W170" s="37"/>
      <c r="X170" s="37"/>
      <c r="Y170" s="37"/>
      <c r="Z170" s="37"/>
      <c r="AA170" s="572"/>
      <c r="AB170" s="963"/>
      <c r="AC170" s="963"/>
      <c r="AD170" s="963"/>
      <c r="AE170" s="963"/>
      <c r="AF170" s="36">
        <v>11</v>
      </c>
    </row>
    <row r="171" s="36" customFormat="1" ht="11.55" customHeight="1" spans="1:32">
      <c r="A171" s="946"/>
      <c r="B171" s="43"/>
      <c r="C171" s="43"/>
      <c r="K171" s="37"/>
      <c r="L171" s="43"/>
      <c r="M171" s="43"/>
      <c r="N171" s="37"/>
      <c r="O171" s="37"/>
      <c r="P171" s="37"/>
      <c r="Q171" s="37"/>
      <c r="R171" s="43"/>
      <c r="S171" s="37"/>
      <c r="T171" s="37"/>
      <c r="U171" s="947"/>
      <c r="V171" s="37"/>
      <c r="W171" s="37"/>
      <c r="X171" s="37"/>
      <c r="Y171" s="37"/>
      <c r="Z171" s="37"/>
      <c r="AA171" s="572"/>
      <c r="AB171" s="963"/>
      <c r="AC171" s="963"/>
      <c r="AD171" s="963"/>
      <c r="AE171" s="963"/>
      <c r="AF171" s="36">
        <v>11</v>
      </c>
    </row>
    <row r="172" s="36" customFormat="1" ht="11.55" customHeight="1" spans="1:32">
      <c r="A172" s="946"/>
      <c r="B172" s="43"/>
      <c r="C172" s="43"/>
      <c r="K172" s="37"/>
      <c r="L172" s="43"/>
      <c r="M172" s="43"/>
      <c r="N172" s="37"/>
      <c r="O172" s="37"/>
      <c r="P172" s="37"/>
      <c r="Q172" s="37"/>
      <c r="R172" s="43"/>
      <c r="S172" s="37"/>
      <c r="T172" s="37"/>
      <c r="U172" s="947"/>
      <c r="V172" s="37"/>
      <c r="W172" s="37"/>
      <c r="X172" s="37"/>
      <c r="Y172" s="37"/>
      <c r="Z172" s="37"/>
      <c r="AA172" s="572"/>
      <c r="AB172" s="963"/>
      <c r="AC172" s="963"/>
      <c r="AD172" s="963"/>
      <c r="AE172" s="963"/>
      <c r="AF172" s="36">
        <v>11</v>
      </c>
    </row>
    <row r="173" s="36" customFormat="1" ht="11.55" customHeight="1" spans="1:32">
      <c r="A173" s="946"/>
      <c r="B173" s="43"/>
      <c r="C173" s="43"/>
      <c r="K173" s="37"/>
      <c r="L173" s="43"/>
      <c r="M173" s="43"/>
      <c r="N173" s="37"/>
      <c r="O173" s="37"/>
      <c r="P173" s="37"/>
      <c r="Q173" s="37"/>
      <c r="R173" s="43"/>
      <c r="S173" s="37"/>
      <c r="T173" s="37"/>
      <c r="U173" s="947"/>
      <c r="V173" s="37"/>
      <c r="W173" s="37"/>
      <c r="X173" s="37"/>
      <c r="Y173" s="37"/>
      <c r="Z173" s="37"/>
      <c r="AA173" s="572"/>
      <c r="AB173" s="963"/>
      <c r="AC173" s="963"/>
      <c r="AD173" s="963"/>
      <c r="AE173" s="963"/>
      <c r="AF173" s="36">
        <v>11</v>
      </c>
    </row>
    <row r="174" s="36" customFormat="1" ht="11.55" customHeight="1" spans="1:32">
      <c r="A174" s="946"/>
      <c r="B174" s="43"/>
      <c r="C174" s="43"/>
      <c r="K174" s="37"/>
      <c r="L174" s="43"/>
      <c r="M174" s="43"/>
      <c r="N174" s="37"/>
      <c r="O174" s="37"/>
      <c r="P174" s="37"/>
      <c r="Q174" s="37"/>
      <c r="R174" s="43"/>
      <c r="S174" s="37"/>
      <c r="T174" s="37"/>
      <c r="U174" s="947"/>
      <c r="V174" s="37"/>
      <c r="W174" s="37"/>
      <c r="X174" s="37"/>
      <c r="Y174" s="37"/>
      <c r="Z174" s="37"/>
      <c r="AA174" s="572"/>
      <c r="AB174" s="963"/>
      <c r="AC174" s="963"/>
      <c r="AD174" s="963"/>
      <c r="AE174" s="963"/>
      <c r="AF174" s="36">
        <v>11</v>
      </c>
    </row>
    <row r="175" s="36" customFormat="1" ht="11.55" customHeight="1" spans="1:32">
      <c r="A175" s="946"/>
      <c r="B175" s="43"/>
      <c r="C175" s="43"/>
      <c r="K175" s="37"/>
      <c r="L175" s="43"/>
      <c r="M175" s="43"/>
      <c r="N175" s="37"/>
      <c r="O175" s="37"/>
      <c r="P175" s="37"/>
      <c r="Q175" s="37"/>
      <c r="R175" s="43"/>
      <c r="S175" s="37"/>
      <c r="T175" s="37"/>
      <c r="U175" s="947"/>
      <c r="V175" s="37"/>
      <c r="W175" s="37"/>
      <c r="X175" s="37"/>
      <c r="Y175" s="37"/>
      <c r="Z175" s="37"/>
      <c r="AA175" s="572"/>
      <c r="AB175" s="963"/>
      <c r="AC175" s="963"/>
      <c r="AD175" s="963"/>
      <c r="AE175" s="963"/>
      <c r="AF175" s="36">
        <v>11</v>
      </c>
    </row>
    <row r="176" s="36" customFormat="1" ht="11.55" customHeight="1" spans="1:32">
      <c r="A176" s="946"/>
      <c r="B176" s="43"/>
      <c r="C176" s="43"/>
      <c r="K176" s="37"/>
      <c r="L176" s="43"/>
      <c r="M176" s="43"/>
      <c r="N176" s="37"/>
      <c r="O176" s="37"/>
      <c r="P176" s="37"/>
      <c r="Q176" s="37"/>
      <c r="R176" s="43"/>
      <c r="S176" s="37"/>
      <c r="T176" s="37"/>
      <c r="U176" s="947"/>
      <c r="V176" s="37"/>
      <c r="W176" s="37"/>
      <c r="X176" s="37"/>
      <c r="Y176" s="37"/>
      <c r="Z176" s="37"/>
      <c r="AA176" s="572"/>
      <c r="AB176" s="963"/>
      <c r="AC176" s="963"/>
      <c r="AD176" s="963"/>
      <c r="AE176" s="963"/>
      <c r="AF176" s="36">
        <v>11</v>
      </c>
    </row>
    <row r="177" s="36" customFormat="1" ht="11.55" customHeight="1" spans="1:32">
      <c r="A177" s="946"/>
      <c r="B177" s="43"/>
      <c r="C177" s="43"/>
      <c r="K177" s="37"/>
      <c r="L177" s="43"/>
      <c r="M177" s="43"/>
      <c r="N177" s="37"/>
      <c r="O177" s="37"/>
      <c r="P177" s="37"/>
      <c r="Q177" s="37"/>
      <c r="R177" s="43"/>
      <c r="S177" s="37"/>
      <c r="T177" s="37"/>
      <c r="U177" s="947"/>
      <c r="V177" s="37"/>
      <c r="W177" s="37"/>
      <c r="X177" s="37"/>
      <c r="Y177" s="37"/>
      <c r="Z177" s="37"/>
      <c r="AA177" s="572"/>
      <c r="AB177" s="963"/>
      <c r="AC177" s="963"/>
      <c r="AD177" s="963"/>
      <c r="AE177" s="963"/>
      <c r="AF177" s="36">
        <v>11</v>
      </c>
    </row>
    <row r="178" s="36" customFormat="1" ht="11.55" customHeight="1" spans="1:32">
      <c r="A178" s="946"/>
      <c r="B178" s="43"/>
      <c r="C178" s="43"/>
      <c r="K178" s="37"/>
      <c r="L178" s="43"/>
      <c r="M178" s="43"/>
      <c r="N178" s="37"/>
      <c r="O178" s="37"/>
      <c r="P178" s="37"/>
      <c r="Q178" s="37"/>
      <c r="R178" s="43"/>
      <c r="S178" s="37"/>
      <c r="T178" s="37"/>
      <c r="U178" s="947"/>
      <c r="V178" s="37"/>
      <c r="W178" s="37"/>
      <c r="X178" s="37"/>
      <c r="Y178" s="37"/>
      <c r="Z178" s="37"/>
      <c r="AA178" s="572"/>
      <c r="AB178" s="963"/>
      <c r="AC178" s="963"/>
      <c r="AD178" s="963"/>
      <c r="AE178" s="963"/>
      <c r="AF178" s="36">
        <v>11</v>
      </c>
    </row>
    <row r="179" s="36" customFormat="1" ht="11.55" customHeight="1" spans="1:32">
      <c r="A179" s="946"/>
      <c r="B179" s="43"/>
      <c r="C179" s="43"/>
      <c r="K179" s="37"/>
      <c r="L179" s="43"/>
      <c r="M179" s="43"/>
      <c r="N179" s="37"/>
      <c r="O179" s="37"/>
      <c r="P179" s="37"/>
      <c r="Q179" s="37"/>
      <c r="R179" s="43"/>
      <c r="S179" s="37"/>
      <c r="T179" s="37"/>
      <c r="U179" s="947"/>
      <c r="V179" s="37"/>
      <c r="W179" s="37"/>
      <c r="X179" s="37"/>
      <c r="Y179" s="37"/>
      <c r="Z179" s="37"/>
      <c r="AA179" s="572"/>
      <c r="AB179" s="963"/>
      <c r="AC179" s="963"/>
      <c r="AD179" s="963"/>
      <c r="AE179" s="963"/>
      <c r="AF179" s="36">
        <v>11</v>
      </c>
    </row>
    <row r="180" s="36" customFormat="1" ht="11.55" customHeight="1" spans="1:32">
      <c r="A180" s="946"/>
      <c r="B180" s="43"/>
      <c r="C180" s="43"/>
      <c r="K180" s="37"/>
      <c r="L180" s="43"/>
      <c r="M180" s="43"/>
      <c r="N180" s="37"/>
      <c r="O180" s="37"/>
      <c r="P180" s="37"/>
      <c r="Q180" s="37"/>
      <c r="R180" s="43"/>
      <c r="S180" s="37"/>
      <c r="T180" s="37"/>
      <c r="U180" s="947"/>
      <c r="V180" s="37"/>
      <c r="W180" s="37"/>
      <c r="X180" s="37"/>
      <c r="Y180" s="37"/>
      <c r="Z180" s="37"/>
      <c r="AA180" s="572"/>
      <c r="AB180" s="963"/>
      <c r="AC180" s="963"/>
      <c r="AD180" s="963"/>
      <c r="AE180" s="963"/>
      <c r="AF180" s="36">
        <v>11</v>
      </c>
    </row>
    <row r="181" s="36" customFormat="1" ht="11.55" customHeight="1" spans="1:32">
      <c r="A181" s="946"/>
      <c r="B181" s="43"/>
      <c r="C181" s="43"/>
      <c r="K181" s="37"/>
      <c r="L181" s="43"/>
      <c r="M181" s="43"/>
      <c r="N181" s="37"/>
      <c r="O181" s="37"/>
      <c r="P181" s="37"/>
      <c r="Q181" s="37"/>
      <c r="R181" s="43"/>
      <c r="S181" s="37"/>
      <c r="T181" s="37"/>
      <c r="U181" s="947"/>
      <c r="V181" s="37"/>
      <c r="W181" s="37"/>
      <c r="X181" s="37"/>
      <c r="Y181" s="37"/>
      <c r="Z181" s="37"/>
      <c r="AA181" s="572"/>
      <c r="AB181" s="963"/>
      <c r="AC181" s="963"/>
      <c r="AD181" s="963"/>
      <c r="AE181" s="963"/>
      <c r="AF181" s="36">
        <v>11</v>
      </c>
    </row>
    <row r="182" s="36" customFormat="1" ht="11.55" customHeight="1" spans="1:32">
      <c r="A182" s="946"/>
      <c r="B182" s="43"/>
      <c r="C182" s="43"/>
      <c r="K182" s="37"/>
      <c r="L182" s="43"/>
      <c r="M182" s="43"/>
      <c r="N182" s="37"/>
      <c r="O182" s="37"/>
      <c r="P182" s="37"/>
      <c r="Q182" s="37"/>
      <c r="R182" s="43"/>
      <c r="S182" s="37"/>
      <c r="T182" s="37"/>
      <c r="U182" s="947"/>
      <c r="V182" s="37"/>
      <c r="W182" s="37"/>
      <c r="X182" s="37"/>
      <c r="Y182" s="37"/>
      <c r="Z182" s="37"/>
      <c r="AA182" s="572"/>
      <c r="AB182" s="963"/>
      <c r="AC182" s="963"/>
      <c r="AD182" s="963"/>
      <c r="AE182" s="963"/>
      <c r="AF182" s="36">
        <v>11</v>
      </c>
    </row>
    <row r="183" s="36" customFormat="1" ht="11.55" customHeight="1" spans="1:32">
      <c r="A183" s="946"/>
      <c r="B183" s="43"/>
      <c r="C183" s="43"/>
      <c r="K183" s="37"/>
      <c r="L183" s="43"/>
      <c r="M183" s="43"/>
      <c r="N183" s="37"/>
      <c r="O183" s="37"/>
      <c r="P183" s="37"/>
      <c r="Q183" s="37"/>
      <c r="R183" s="43"/>
      <c r="S183" s="37"/>
      <c r="T183" s="37"/>
      <c r="U183" s="947"/>
      <c r="V183" s="37"/>
      <c r="W183" s="37"/>
      <c r="X183" s="37"/>
      <c r="Y183" s="37"/>
      <c r="Z183" s="37"/>
      <c r="AA183" s="572"/>
      <c r="AB183" s="963"/>
      <c r="AC183" s="963"/>
      <c r="AD183" s="963"/>
      <c r="AE183" s="963"/>
      <c r="AF183" s="36">
        <v>11</v>
      </c>
    </row>
    <row r="184" s="36" customFormat="1" ht="11.55" customHeight="1" spans="1:32">
      <c r="A184" s="946"/>
      <c r="B184" s="43"/>
      <c r="C184" s="43"/>
      <c r="K184" s="37"/>
      <c r="L184" s="43"/>
      <c r="M184" s="43"/>
      <c r="N184" s="37"/>
      <c r="O184" s="37"/>
      <c r="P184" s="37"/>
      <c r="Q184" s="37"/>
      <c r="R184" s="43"/>
      <c r="S184" s="37"/>
      <c r="T184" s="37"/>
      <c r="U184" s="947"/>
      <c r="V184" s="37"/>
      <c r="W184" s="37"/>
      <c r="X184" s="37"/>
      <c r="Y184" s="37"/>
      <c r="Z184" s="37"/>
      <c r="AA184" s="572"/>
      <c r="AB184" s="963"/>
      <c r="AC184" s="963"/>
      <c r="AD184" s="963"/>
      <c r="AE184" s="963"/>
      <c r="AF184" s="36">
        <v>11</v>
      </c>
    </row>
    <row r="185" s="36" customFormat="1" ht="11.55" customHeight="1" spans="1:32">
      <c r="A185" s="946"/>
      <c r="B185" s="43"/>
      <c r="C185" s="43"/>
      <c r="K185" s="37"/>
      <c r="L185" s="43"/>
      <c r="M185" s="43"/>
      <c r="N185" s="37"/>
      <c r="O185" s="37"/>
      <c r="P185" s="37"/>
      <c r="Q185" s="37"/>
      <c r="R185" s="43"/>
      <c r="S185" s="37"/>
      <c r="T185" s="37"/>
      <c r="U185" s="947"/>
      <c r="V185" s="37"/>
      <c r="W185" s="37"/>
      <c r="X185" s="37"/>
      <c r="Y185" s="37"/>
      <c r="Z185" s="37"/>
      <c r="AA185" s="572"/>
      <c r="AB185" s="963"/>
      <c r="AC185" s="963"/>
      <c r="AD185" s="963"/>
      <c r="AE185" s="963"/>
      <c r="AF185" s="36">
        <v>11</v>
      </c>
    </row>
    <row r="186" s="36" customFormat="1" ht="11.55" customHeight="1" spans="1:32">
      <c r="A186" s="946"/>
      <c r="B186" s="43"/>
      <c r="C186" s="43"/>
      <c r="K186" s="37"/>
      <c r="L186" s="43"/>
      <c r="M186" s="43"/>
      <c r="N186" s="37"/>
      <c r="O186" s="37"/>
      <c r="P186" s="37"/>
      <c r="Q186" s="37"/>
      <c r="R186" s="43"/>
      <c r="S186" s="37"/>
      <c r="T186" s="37"/>
      <c r="U186" s="947"/>
      <c r="V186" s="37"/>
      <c r="W186" s="37"/>
      <c r="X186" s="37"/>
      <c r="Y186" s="37"/>
      <c r="Z186" s="37"/>
      <c r="AA186" s="572"/>
      <c r="AB186" s="963"/>
      <c r="AC186" s="963"/>
      <c r="AD186" s="963"/>
      <c r="AE186" s="963"/>
      <c r="AF186" s="36">
        <v>11</v>
      </c>
    </row>
    <row r="187" s="36" customFormat="1" ht="11.55" customHeight="1" spans="1:32">
      <c r="A187" s="946"/>
      <c r="B187" s="43"/>
      <c r="C187" s="43"/>
      <c r="K187" s="37"/>
      <c r="L187" s="43"/>
      <c r="M187" s="43"/>
      <c r="N187" s="37"/>
      <c r="O187" s="37"/>
      <c r="P187" s="37"/>
      <c r="Q187" s="37"/>
      <c r="R187" s="43"/>
      <c r="S187" s="37"/>
      <c r="T187" s="37"/>
      <c r="U187" s="947"/>
      <c r="V187" s="37"/>
      <c r="W187" s="37"/>
      <c r="X187" s="37"/>
      <c r="Y187" s="37"/>
      <c r="Z187" s="37"/>
      <c r="AA187" s="572"/>
      <c r="AB187" s="963"/>
      <c r="AC187" s="963"/>
      <c r="AD187" s="963"/>
      <c r="AE187" s="963"/>
      <c r="AF187" s="36">
        <v>11</v>
      </c>
    </row>
    <row r="188" s="36" customFormat="1" ht="11.55" customHeight="1" spans="1:32">
      <c r="A188" s="946"/>
      <c r="B188" s="43"/>
      <c r="C188" s="43"/>
      <c r="K188" s="37"/>
      <c r="L188" s="43"/>
      <c r="M188" s="43"/>
      <c r="N188" s="37"/>
      <c r="O188" s="37"/>
      <c r="P188" s="37"/>
      <c r="Q188" s="37"/>
      <c r="R188" s="43"/>
      <c r="S188" s="37"/>
      <c r="T188" s="37"/>
      <c r="U188" s="947"/>
      <c r="V188" s="37"/>
      <c r="W188" s="37"/>
      <c r="X188" s="37"/>
      <c r="Y188" s="37"/>
      <c r="Z188" s="37"/>
      <c r="AA188" s="572"/>
      <c r="AB188" s="963"/>
      <c r="AC188" s="963"/>
      <c r="AD188" s="963"/>
      <c r="AE188" s="963"/>
      <c r="AF188" s="36">
        <v>11</v>
      </c>
    </row>
    <row r="189" s="36" customFormat="1" ht="11.55" customHeight="1" spans="1:32">
      <c r="A189" s="946"/>
      <c r="B189" s="43"/>
      <c r="C189" s="43"/>
      <c r="K189" s="37"/>
      <c r="L189" s="43"/>
      <c r="M189" s="43"/>
      <c r="N189" s="37"/>
      <c r="O189" s="37"/>
      <c r="P189" s="37"/>
      <c r="Q189" s="37"/>
      <c r="R189" s="43"/>
      <c r="S189" s="37"/>
      <c r="T189" s="37"/>
      <c r="U189" s="947"/>
      <c r="V189" s="37"/>
      <c r="W189" s="37"/>
      <c r="X189" s="37"/>
      <c r="Y189" s="37"/>
      <c r="Z189" s="37"/>
      <c r="AA189" s="572"/>
      <c r="AB189" s="963"/>
      <c r="AC189" s="963"/>
      <c r="AD189" s="963"/>
      <c r="AE189" s="963"/>
      <c r="AF189" s="36">
        <v>11</v>
      </c>
    </row>
    <row r="190" s="36" customFormat="1" ht="11.55" customHeight="1" spans="1:32">
      <c r="A190" s="946"/>
      <c r="B190" s="43"/>
      <c r="C190" s="43"/>
      <c r="K190" s="37"/>
      <c r="L190" s="43"/>
      <c r="M190" s="43"/>
      <c r="N190" s="37"/>
      <c r="O190" s="37"/>
      <c r="P190" s="37"/>
      <c r="Q190" s="37"/>
      <c r="R190" s="43"/>
      <c r="S190" s="37"/>
      <c r="T190" s="37"/>
      <c r="U190" s="947"/>
      <c r="V190" s="37"/>
      <c r="W190" s="37"/>
      <c r="X190" s="37"/>
      <c r="Y190" s="37"/>
      <c r="Z190" s="37"/>
      <c r="AA190" s="572"/>
      <c r="AB190" s="963"/>
      <c r="AC190" s="963"/>
      <c r="AD190" s="963"/>
      <c r="AE190" s="963"/>
      <c r="AF190" s="36">
        <v>11</v>
      </c>
    </row>
    <row r="191" s="36" customFormat="1" ht="11.55" customHeight="1" spans="1:32">
      <c r="A191" s="946"/>
      <c r="B191" s="43"/>
      <c r="C191" s="43"/>
      <c r="K191" s="37"/>
      <c r="L191" s="43"/>
      <c r="M191" s="43"/>
      <c r="N191" s="37"/>
      <c r="O191" s="37"/>
      <c r="P191" s="37"/>
      <c r="Q191" s="37"/>
      <c r="R191" s="43"/>
      <c r="S191" s="37"/>
      <c r="T191" s="37"/>
      <c r="U191" s="947"/>
      <c r="V191" s="37"/>
      <c r="W191" s="37"/>
      <c r="X191" s="37"/>
      <c r="Y191" s="37"/>
      <c r="Z191" s="37"/>
      <c r="AA191" s="572"/>
      <c r="AB191" s="963"/>
      <c r="AC191" s="963"/>
      <c r="AD191" s="963"/>
      <c r="AE191" s="963"/>
      <c r="AF191" s="36">
        <v>11</v>
      </c>
    </row>
    <row r="192" s="36" customFormat="1" ht="11.55" customHeight="1" spans="1:32">
      <c r="A192" s="946"/>
      <c r="B192" s="43"/>
      <c r="C192" s="43"/>
      <c r="K192" s="37"/>
      <c r="L192" s="43"/>
      <c r="M192" s="43"/>
      <c r="N192" s="37"/>
      <c r="O192" s="37"/>
      <c r="P192" s="37"/>
      <c r="Q192" s="37"/>
      <c r="R192" s="43"/>
      <c r="S192" s="37"/>
      <c r="T192" s="37"/>
      <c r="U192" s="947"/>
      <c r="V192" s="37"/>
      <c r="W192" s="37"/>
      <c r="X192" s="37"/>
      <c r="Y192" s="37"/>
      <c r="Z192" s="37"/>
      <c r="AA192" s="572"/>
      <c r="AB192" s="963"/>
      <c r="AC192" s="963"/>
      <c r="AD192" s="963"/>
      <c r="AE192" s="963"/>
      <c r="AF192" s="36">
        <v>11</v>
      </c>
    </row>
    <row r="193" s="36" customFormat="1" ht="11.55" customHeight="1" spans="1:32">
      <c r="A193" s="946"/>
      <c r="B193" s="43"/>
      <c r="C193" s="43"/>
      <c r="K193" s="37"/>
      <c r="L193" s="43"/>
      <c r="M193" s="43"/>
      <c r="N193" s="37"/>
      <c r="O193" s="37"/>
      <c r="P193" s="37"/>
      <c r="Q193" s="37"/>
      <c r="R193" s="43"/>
      <c r="S193" s="37"/>
      <c r="T193" s="37"/>
      <c r="U193" s="947"/>
      <c r="V193" s="37"/>
      <c r="W193" s="37"/>
      <c r="X193" s="37"/>
      <c r="Y193" s="37"/>
      <c r="Z193" s="37"/>
      <c r="AA193" s="572"/>
      <c r="AB193" s="963"/>
      <c r="AC193" s="963"/>
      <c r="AD193" s="963"/>
      <c r="AE193" s="963"/>
      <c r="AF193" s="36">
        <v>11</v>
      </c>
    </row>
    <row r="194" s="36" customFormat="1" ht="11.55" customHeight="1" spans="1:32">
      <c r="A194" s="946"/>
      <c r="B194" s="43"/>
      <c r="C194" s="43"/>
      <c r="K194" s="37"/>
      <c r="L194" s="43"/>
      <c r="M194" s="43"/>
      <c r="N194" s="37"/>
      <c r="O194" s="37"/>
      <c r="P194" s="37"/>
      <c r="Q194" s="37"/>
      <c r="R194" s="43"/>
      <c r="S194" s="37"/>
      <c r="T194" s="37"/>
      <c r="U194" s="947"/>
      <c r="V194" s="37"/>
      <c r="W194" s="37"/>
      <c r="X194" s="37"/>
      <c r="Y194" s="37"/>
      <c r="Z194" s="37"/>
      <c r="AA194" s="572"/>
      <c r="AB194" s="963"/>
      <c r="AC194" s="963"/>
      <c r="AD194" s="963"/>
      <c r="AE194" s="963"/>
      <c r="AF194" s="36">
        <v>11</v>
      </c>
    </row>
    <row r="195" s="36" customFormat="1" ht="11.55" customHeight="1" spans="1:32">
      <c r="A195" s="946"/>
      <c r="B195" s="43"/>
      <c r="C195" s="43"/>
      <c r="K195" s="37"/>
      <c r="L195" s="43"/>
      <c r="M195" s="43"/>
      <c r="N195" s="37"/>
      <c r="O195" s="37"/>
      <c r="P195" s="37"/>
      <c r="Q195" s="37"/>
      <c r="R195" s="43"/>
      <c r="S195" s="37"/>
      <c r="T195" s="37"/>
      <c r="U195" s="947"/>
      <c r="V195" s="37"/>
      <c r="W195" s="37"/>
      <c r="X195" s="37"/>
      <c r="Y195" s="37"/>
      <c r="Z195" s="37"/>
      <c r="AA195" s="572"/>
      <c r="AB195" s="963"/>
      <c r="AC195" s="963"/>
      <c r="AD195" s="963"/>
      <c r="AE195" s="963"/>
      <c r="AF195" s="36">
        <v>11</v>
      </c>
    </row>
    <row r="196" ht="11.55" customHeight="1" spans="32:32">
      <c r="AF196" s="42">
        <v>11</v>
      </c>
    </row>
    <row r="197" ht="11.55" customHeight="1" spans="32:32">
      <c r="AF197" s="42">
        <v>11</v>
      </c>
    </row>
    <row r="198" ht="11.55" customHeight="1" spans="32:32">
      <c r="AF198" s="42">
        <v>11</v>
      </c>
    </row>
    <row r="199" ht="11.55" customHeight="1" spans="1:32">
      <c r="A199" s="967"/>
      <c r="B199" s="42"/>
      <c r="K199" s="42"/>
      <c r="N199" s="42"/>
      <c r="O199" s="42"/>
      <c r="P199" s="42"/>
      <c r="Q199" s="42"/>
      <c r="S199" s="42"/>
      <c r="T199" s="42"/>
      <c r="U199" s="42"/>
      <c r="V199" s="42"/>
      <c r="W199" s="42"/>
      <c r="X199" s="42"/>
      <c r="Y199" s="42"/>
      <c r="Z199" s="42"/>
      <c r="AA199" s="42"/>
      <c r="AB199" s="42"/>
      <c r="AC199" s="42"/>
      <c r="AD199" s="42"/>
      <c r="AE199" s="42"/>
      <c r="AF199" s="42">
        <v>11</v>
      </c>
    </row>
    <row r="200" ht="11.55" customHeight="1" spans="1:32">
      <c r="A200" s="967"/>
      <c r="B200" s="42"/>
      <c r="K200" s="42"/>
      <c r="N200" s="42"/>
      <c r="O200" s="42"/>
      <c r="P200" s="42"/>
      <c r="Q200" s="42"/>
      <c r="S200" s="42"/>
      <c r="T200" s="42"/>
      <c r="U200" s="42"/>
      <c r="V200" s="42"/>
      <c r="W200" s="42"/>
      <c r="X200" s="42"/>
      <c r="Y200" s="42"/>
      <c r="Z200" s="42"/>
      <c r="AA200" s="42"/>
      <c r="AB200" s="42"/>
      <c r="AC200" s="42"/>
      <c r="AD200" s="42"/>
      <c r="AE200" s="42"/>
      <c r="AF200" s="42">
        <v>11</v>
      </c>
    </row>
    <row r="201" ht="11.55" customHeight="1" spans="1:32">
      <c r="A201" s="967"/>
      <c r="B201" s="42"/>
      <c r="K201" s="42"/>
      <c r="N201" s="42"/>
      <c r="O201" s="42"/>
      <c r="P201" s="42"/>
      <c r="Q201" s="42"/>
      <c r="S201" s="42"/>
      <c r="T201" s="42"/>
      <c r="U201" s="42"/>
      <c r="V201" s="42"/>
      <c r="W201" s="42"/>
      <c r="X201" s="42"/>
      <c r="Y201" s="42"/>
      <c r="Z201" s="42"/>
      <c r="AA201" s="42"/>
      <c r="AB201" s="42"/>
      <c r="AC201" s="42"/>
      <c r="AD201" s="42"/>
      <c r="AE201" s="42"/>
      <c r="AF201" s="42">
        <v>11</v>
      </c>
    </row>
    <row r="202" ht="11.55" customHeight="1" spans="1:32">
      <c r="A202" s="967"/>
      <c r="B202" s="42"/>
      <c r="K202" s="42"/>
      <c r="N202" s="42"/>
      <c r="O202" s="42"/>
      <c r="P202" s="42"/>
      <c r="Q202" s="42"/>
      <c r="S202" s="42"/>
      <c r="T202" s="42"/>
      <c r="U202" s="42"/>
      <c r="V202" s="42"/>
      <c r="W202" s="42"/>
      <c r="X202" s="42"/>
      <c r="Y202" s="42"/>
      <c r="Z202" s="42"/>
      <c r="AA202" s="42"/>
      <c r="AB202" s="42"/>
      <c r="AC202" s="42"/>
      <c r="AD202" s="42"/>
      <c r="AE202" s="42"/>
      <c r="AF202" s="42">
        <v>11</v>
      </c>
    </row>
    <row r="203" ht="11.55" customHeight="1" spans="1:32">
      <c r="A203" s="967"/>
      <c r="B203" s="42"/>
      <c r="K203" s="42"/>
      <c r="N203" s="42"/>
      <c r="O203" s="42"/>
      <c r="P203" s="42"/>
      <c r="Q203" s="42"/>
      <c r="S203" s="42"/>
      <c r="T203" s="42"/>
      <c r="U203" s="42"/>
      <c r="V203" s="42"/>
      <c r="W203" s="42"/>
      <c r="X203" s="42"/>
      <c r="Y203" s="42"/>
      <c r="Z203" s="42"/>
      <c r="AA203" s="42"/>
      <c r="AB203" s="42"/>
      <c r="AC203" s="42"/>
      <c r="AD203" s="42"/>
      <c r="AE203" s="42"/>
      <c r="AF203" s="42">
        <v>11</v>
      </c>
    </row>
    <row r="204" ht="11.55" customHeight="1" spans="1:32">
      <c r="A204" s="967"/>
      <c r="B204" s="42"/>
      <c r="K204" s="42"/>
      <c r="N204" s="42"/>
      <c r="O204" s="42"/>
      <c r="P204" s="42"/>
      <c r="Q204" s="42"/>
      <c r="S204" s="42"/>
      <c r="T204" s="42"/>
      <c r="U204" s="42"/>
      <c r="V204" s="42"/>
      <c r="W204" s="42"/>
      <c r="X204" s="42"/>
      <c r="Y204" s="42"/>
      <c r="Z204" s="42"/>
      <c r="AA204" s="42"/>
      <c r="AB204" s="42"/>
      <c r="AC204" s="42"/>
      <c r="AD204" s="42"/>
      <c r="AE204" s="42"/>
      <c r="AF204" s="42">
        <v>11</v>
      </c>
    </row>
    <row r="205" ht="11.55" customHeight="1" spans="1:32">
      <c r="A205" s="967"/>
      <c r="B205" s="42"/>
      <c r="K205" s="42"/>
      <c r="N205" s="42"/>
      <c r="O205" s="42"/>
      <c r="P205" s="42"/>
      <c r="Q205" s="42"/>
      <c r="S205" s="42"/>
      <c r="T205" s="42"/>
      <c r="U205" s="42"/>
      <c r="V205" s="42"/>
      <c r="W205" s="42"/>
      <c r="X205" s="42"/>
      <c r="Y205" s="42"/>
      <c r="Z205" s="42"/>
      <c r="AA205" s="42"/>
      <c r="AB205" s="42"/>
      <c r="AC205" s="42"/>
      <c r="AD205" s="42"/>
      <c r="AE205" s="42"/>
      <c r="AF205" s="42">
        <v>11</v>
      </c>
    </row>
    <row r="206" ht="11.55" customHeight="1" spans="1:32">
      <c r="A206" s="967"/>
      <c r="B206" s="42"/>
      <c r="K206" s="42"/>
      <c r="N206" s="42"/>
      <c r="O206" s="42"/>
      <c r="P206" s="42"/>
      <c r="Q206" s="42"/>
      <c r="S206" s="42"/>
      <c r="T206" s="42"/>
      <c r="U206" s="42"/>
      <c r="V206" s="42"/>
      <c r="W206" s="42"/>
      <c r="X206" s="42"/>
      <c r="Y206" s="42"/>
      <c r="Z206" s="42"/>
      <c r="AA206" s="42"/>
      <c r="AB206" s="42"/>
      <c r="AC206" s="42"/>
      <c r="AD206" s="42"/>
      <c r="AE206" s="42"/>
      <c r="AF206" s="42">
        <v>11</v>
      </c>
    </row>
    <row r="207" ht="11.55" customHeight="1" spans="1:32">
      <c r="A207" s="967"/>
      <c r="B207" s="42"/>
      <c r="K207" s="42"/>
      <c r="N207" s="42"/>
      <c r="O207" s="42"/>
      <c r="P207" s="42"/>
      <c r="Q207" s="42"/>
      <c r="S207" s="42"/>
      <c r="T207" s="42"/>
      <c r="U207" s="42"/>
      <c r="V207" s="42"/>
      <c r="W207" s="42"/>
      <c r="X207" s="42"/>
      <c r="Y207" s="42"/>
      <c r="Z207" s="42"/>
      <c r="AA207" s="42"/>
      <c r="AB207" s="42"/>
      <c r="AC207" s="42"/>
      <c r="AD207" s="42"/>
      <c r="AE207" s="42"/>
      <c r="AF207" s="42">
        <v>11</v>
      </c>
    </row>
    <row r="208" ht="11.55" customHeight="1" spans="1:32">
      <c r="A208" s="967"/>
      <c r="B208" s="42"/>
      <c r="K208" s="42"/>
      <c r="N208" s="42"/>
      <c r="O208" s="42"/>
      <c r="P208" s="42"/>
      <c r="Q208" s="42"/>
      <c r="S208" s="42"/>
      <c r="T208" s="42"/>
      <c r="U208" s="42"/>
      <c r="V208" s="42"/>
      <c r="W208" s="42"/>
      <c r="X208" s="42"/>
      <c r="Y208" s="42"/>
      <c r="Z208" s="42"/>
      <c r="AA208" s="42"/>
      <c r="AB208" s="42"/>
      <c r="AC208" s="42"/>
      <c r="AD208" s="42"/>
      <c r="AE208" s="42"/>
      <c r="AF208" s="42">
        <v>11</v>
      </c>
    </row>
    <row r="209" ht="11.55" customHeight="1" spans="1:32">
      <c r="A209" s="967"/>
      <c r="B209" s="42"/>
      <c r="K209" s="42"/>
      <c r="N209" s="42"/>
      <c r="O209" s="42"/>
      <c r="P209" s="42"/>
      <c r="Q209" s="42"/>
      <c r="S209" s="42"/>
      <c r="T209" s="42"/>
      <c r="U209" s="42"/>
      <c r="V209" s="42"/>
      <c r="W209" s="42"/>
      <c r="X209" s="42"/>
      <c r="Y209" s="42"/>
      <c r="Z209" s="42"/>
      <c r="AA209" s="42"/>
      <c r="AB209" s="42"/>
      <c r="AC209" s="42"/>
      <c r="AD209" s="42"/>
      <c r="AE209" s="42"/>
      <c r="AF209" s="42">
        <v>11</v>
      </c>
    </row>
    <row r="210" hidden="1" customHeight="1" spans="1:32">
      <c r="A210" s="946" t="s">
        <v>83</v>
      </c>
      <c r="B210" s="37">
        <v>0</v>
      </c>
      <c r="C210" s="43">
        <v>0</v>
      </c>
      <c r="D210" s="42">
        <v>3</v>
      </c>
      <c r="E210" s="42">
        <v>7</v>
      </c>
      <c r="F210" s="42">
        <v>54</v>
      </c>
      <c r="G210" s="42">
        <v>10</v>
      </c>
      <c r="H210" s="42">
        <v>0</v>
      </c>
      <c r="I210" s="42">
        <v>40</v>
      </c>
      <c r="J210" s="42">
        <v>102</v>
      </c>
      <c r="K210" s="37">
        <v>9</v>
      </c>
      <c r="L210" s="43">
        <v>5</v>
      </c>
      <c r="M210" s="43">
        <v>3</v>
      </c>
      <c r="N210" s="37">
        <v>3</v>
      </c>
      <c r="O210" s="37">
        <v>3</v>
      </c>
      <c r="P210" s="37">
        <v>3</v>
      </c>
      <c r="Q210" s="37">
        <v>3</v>
      </c>
      <c r="R210" s="43">
        <v>10</v>
      </c>
      <c r="S210" s="37">
        <v>34</v>
      </c>
      <c r="T210" s="37">
        <v>9</v>
      </c>
      <c r="U210" s="947">
        <v>8</v>
      </c>
      <c r="V210" s="37">
        <v>8</v>
      </c>
      <c r="W210" s="37">
        <v>8</v>
      </c>
      <c r="X210" s="37">
        <v>8</v>
      </c>
      <c r="Y210" s="37">
        <v>8</v>
      </c>
      <c r="Z210" s="37">
        <v>8</v>
      </c>
      <c r="AA210" s="572">
        <v>8</v>
      </c>
      <c r="AB210" s="572">
        <v>8</v>
      </c>
      <c r="AC210" s="572">
        <v>8</v>
      </c>
      <c r="AD210" s="572">
        <v>8</v>
      </c>
      <c r="AE210" s="572">
        <v>8</v>
      </c>
      <c r="AF210" s="42">
        <v>11</v>
      </c>
    </row>
  </sheetData>
  <sheetProtection formatColumns="0" formatRows="0" insertRows="0" deleteColumns="0" deleteRows="0" sort="0" autoFilter="0"/>
  <mergeCells count="9">
    <mergeCell ref="E6:I6"/>
    <mergeCell ref="E7:I7"/>
    <mergeCell ref="F10:G10"/>
    <mergeCell ref="F11:G11"/>
    <mergeCell ref="F12:G12"/>
    <mergeCell ref="E13:G13"/>
    <mergeCell ref="F39:G39"/>
    <mergeCell ref="F40:G40"/>
    <mergeCell ref="J10:J14"/>
  </mergeCells>
  <dataValidations count="5">
    <dataValidation type="decimal" operator="between" allowBlank="1" showErrorMessage="1" errorTitle="Ошибка" error="Допускается ввод только неотрицательных чисел!" sqref="H2:I2 H15:I15 H31:I31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operator="between"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operator="between"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paperSize="1"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X102"/>
  <sheetViews>
    <sheetView showGridLines="0" zoomScale="90" zoomScaleNormal="90" workbookViewId="0">
      <pane xSplit="8" ySplit="11" topLeftCell="I12" activePane="bottomRight" state="frozen"/>
      <selection/>
      <selection pane="topRight"/>
      <selection pane="bottomLeft"/>
      <selection pane="bottomRight" activeCell="A1" sqref="A1"/>
    </sheetView>
  </sheetViews>
  <sheetFormatPr defaultColWidth="10.5714285714286" defaultRowHeight="11.25" customHeight="1"/>
  <cols>
    <col min="1" max="1" width="9.14285714285714" style="296" hidden="1" customWidth="1"/>
    <col min="2" max="2" width="3.57142857142857" style="43" hidden="1" customWidth="1"/>
    <col min="3" max="3" width="3" style="42" customWidth="1"/>
    <col min="4" max="4" width="7" style="42" customWidth="1"/>
    <col min="5" max="5" width="69" style="42" customWidth="1"/>
    <col min="6" max="6" width="10" style="42" customWidth="1"/>
    <col min="7" max="8" width="44" style="42" hidden="1" customWidth="1"/>
    <col min="9" max="9" width="44" style="42" customWidth="1"/>
    <col min="10" max="10" width="43" style="42" customWidth="1"/>
    <col min="11" max="11" width="73" style="42" customWidth="1"/>
    <col min="12" max="12" width="3" style="42" customWidth="1"/>
    <col min="13" max="23" width="10" style="42" customWidth="1"/>
    <col min="24" max="24" width="10.5714285714286" style="42" hidden="1"/>
  </cols>
  <sheetData>
    <row r="1" s="37" customFormat="1" ht="22.5" hidden="1" customHeight="1" spans="1:24">
      <c r="A1" s="296"/>
      <c r="B1" s="43"/>
      <c r="G1" s="37">
        <v>4</v>
      </c>
      <c r="I1" s="37">
        <v>4</v>
      </c>
      <c r="K1" s="37">
        <v>5</v>
      </c>
      <c r="X1" s="37" t="s">
        <v>14</v>
      </c>
    </row>
    <row r="2" ht="3" customHeight="1" spans="24:24">
      <c r="X2" s="42">
        <v>3</v>
      </c>
    </row>
    <row r="3" ht="78.75" customHeight="1" spans="4:24">
      <c r="D3" s="65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655"/>
      <c r="F3" s="656"/>
      <c r="X3" s="42">
        <v>75</v>
      </c>
    </row>
    <row r="4" s="42" customFormat="1" ht="21" customHeight="1" spans="1:24">
      <c r="A4" s="296"/>
      <c r="B4" s="43"/>
      <c r="D4" s="770" t="str">
        <f>IF(org=0,"Не определено",org)</f>
        <v>АО "ОЭЗ ППТ "Алабуга"</v>
      </c>
      <c r="E4" s="621"/>
      <c r="F4" s="771"/>
      <c r="X4" s="42">
        <v>20</v>
      </c>
    </row>
    <row r="5" ht="11.55" customHeight="1" spans="8:24">
      <c r="H5" s="574"/>
      <c r="J5" s="574"/>
      <c r="X5" s="42">
        <v>11</v>
      </c>
    </row>
    <row r="6" ht="1.05" customHeight="1" spans="5:24">
      <c r="E6" s="85"/>
      <c r="F6" s="910"/>
      <c r="G6" s="911"/>
      <c r="H6" s="911"/>
      <c r="I6" s="911" t="s">
        <v>119</v>
      </c>
      <c r="J6" s="911"/>
      <c r="X6" s="42">
        <v>1</v>
      </c>
    </row>
    <row r="7" ht="11.55" customHeight="1" spans="4:24">
      <c r="D7" s="751"/>
      <c r="E7" s="752" t="s">
        <v>107</v>
      </c>
      <c r="F7" s="753"/>
      <c r="G7" s="912" t="str">
        <f>IF(G6="","",INDEX(DIFFERENTIATION_UNMERGE_VD,MATCH(G6,DIFFERENTIATION_ID_DIFF,0)))</f>
        <v/>
      </c>
      <c r="H7" s="913"/>
      <c r="I7" s="912">
        <f>IF(I6="","",INDEX(DIFFERENTIATION_UNMERGE_VD,MATCH(I6,DIFFERENTIATION_ID_DIFF,0)))</f>
        <v>0</v>
      </c>
      <c r="J7" s="913"/>
      <c r="K7" s="70"/>
      <c r="X7" s="42">
        <v>11</v>
      </c>
    </row>
    <row r="8" ht="11.55" customHeight="1" spans="4:24">
      <c r="D8" s="751"/>
      <c r="E8" s="752" t="s">
        <v>574</v>
      </c>
      <c r="F8" s="753"/>
      <c r="G8" s="912" t="str">
        <f>IF(G6="","",INDEX(DIFFERENTIATION_UNMERGE_AREA,MATCH(G6,DIFFERENTIATION_ID_DIFF,0)))</f>
        <v/>
      </c>
      <c r="H8" s="913"/>
      <c r="I8" s="912" t="str">
        <f>IF(I6="","",INDEX(DIFFERENTIATION_UNMERGE_AREA,MATCH(I6,DIFFERENTIATION_ID_DIFF,0)))</f>
        <v/>
      </c>
      <c r="J8" s="913"/>
      <c r="K8" s="397"/>
      <c r="X8" s="42">
        <v>11</v>
      </c>
    </row>
    <row r="9" ht="11.55" customHeight="1" spans="4:24">
      <c r="D9" s="751"/>
      <c r="E9" s="752" t="s">
        <v>575</v>
      </c>
      <c r="F9" s="753"/>
      <c r="G9" s="912" t="str">
        <f>IF(G6="","",INDEX(DIFFERENTIATION_UNMERGE_SYSTEM,MATCH(G6,DIFFERENTIATION_ID_DIFF,0)))</f>
        <v/>
      </c>
      <c r="H9" s="913"/>
      <c r="I9" s="912" t="str">
        <f>IF(I6="","",INDEX(DIFFERENTIATION_UNMERGE_SYSTEM,MATCH(I6,DIFFERENTIATION_ID_DIFF,0)))</f>
        <v>без дифференциации</v>
      </c>
      <c r="J9" s="913"/>
      <c r="K9" s="397"/>
      <c r="X9" s="42">
        <v>11</v>
      </c>
    </row>
    <row r="10" s="42" customFormat="1" ht="11.55" customHeight="1" spans="1:24">
      <c r="A10" s="296"/>
      <c r="B10" s="43"/>
      <c r="D10" s="125" t="s">
        <v>305</v>
      </c>
      <c r="E10" s="127"/>
      <c r="F10" s="127"/>
      <c r="G10" s="127"/>
      <c r="H10" s="127"/>
      <c r="I10" s="127"/>
      <c r="J10" s="126"/>
      <c r="K10" s="397"/>
      <c r="X10" s="42">
        <v>11</v>
      </c>
    </row>
    <row r="11" s="42" customFormat="1" ht="24" customHeight="1" spans="1:24">
      <c r="A11" s="119"/>
      <c r="B11" s="119"/>
      <c r="C11" s="784"/>
      <c r="D11" s="63" t="s">
        <v>89</v>
      </c>
      <c r="E11" s="63" t="s">
        <v>816</v>
      </c>
      <c r="F11" s="63" t="s">
        <v>576</v>
      </c>
      <c r="G11" s="63" t="s">
        <v>308</v>
      </c>
      <c r="H11" s="63" t="s">
        <v>395</v>
      </c>
      <c r="I11" s="63" t="s">
        <v>308</v>
      </c>
      <c r="J11" s="125" t="s">
        <v>395</v>
      </c>
      <c r="K11" s="72"/>
      <c r="L11" s="119"/>
      <c r="X11" s="42">
        <v>23</v>
      </c>
    </row>
    <row r="12" s="43" customFormat="1" ht="10.5" customHeight="1" spans="1:24">
      <c r="A12" s="306"/>
      <c r="D12" s="306" t="s">
        <v>111</v>
      </c>
      <c r="E12" s="306" t="s">
        <v>112</v>
      </c>
      <c r="F12" s="306" t="s">
        <v>91</v>
      </c>
      <c r="G12" s="92" t="str">
        <f>G1&amp;".1"</f>
        <v>4.1</v>
      </c>
      <c r="H12" s="92" t="str">
        <f>G1&amp;".2"</f>
        <v>4.2</v>
      </c>
      <c r="I12" s="92" t="str">
        <f>I1&amp;".1"</f>
        <v>4.1</v>
      </c>
      <c r="J12" s="92" t="str">
        <f>I1&amp;".2"</f>
        <v>4.2</v>
      </c>
      <c r="K12" s="92"/>
      <c r="X12" s="43">
        <v>10</v>
      </c>
    </row>
    <row r="13" ht="22.5" hidden="1" customHeight="1" spans="1:24">
      <c r="A13" s="914" t="s">
        <v>817</v>
      </c>
      <c r="D13" s="231" t="s">
        <v>111</v>
      </c>
      <c r="E13" s="392" t="s">
        <v>818</v>
      </c>
      <c r="F13" s="915" t="s">
        <v>819</v>
      </c>
      <c r="G13" s="916"/>
      <c r="H13" s="917"/>
      <c r="I13" s="916"/>
      <c r="J13" s="917"/>
      <c r="K13" s="82" t="s">
        <v>820</v>
      </c>
      <c r="L13" s="938"/>
      <c r="X13" s="42">
        <v>0</v>
      </c>
    </row>
    <row r="14" ht="22.5" hidden="1" customHeight="1" spans="1:24">
      <c r="A14" s="914"/>
      <c r="D14" s="231" t="s">
        <v>112</v>
      </c>
      <c r="E14" s="392" t="s">
        <v>821</v>
      </c>
      <c r="F14" s="915" t="s">
        <v>822</v>
      </c>
      <c r="G14" s="916"/>
      <c r="H14" s="917"/>
      <c r="I14" s="916"/>
      <c r="J14" s="917"/>
      <c r="K14" s="82" t="s">
        <v>823</v>
      </c>
      <c r="L14" s="938"/>
      <c r="X14" s="42">
        <v>0</v>
      </c>
    </row>
    <row r="15" s="42" customFormat="1" ht="78.75" hidden="1" customHeight="1" spans="1:24">
      <c r="A15" s="914"/>
      <c r="B15" s="43"/>
      <c r="D15" s="231" t="s">
        <v>91</v>
      </c>
      <c r="E15" s="392" t="s">
        <v>824</v>
      </c>
      <c r="F15" s="63" t="s">
        <v>311</v>
      </c>
      <c r="G15" s="63" t="s">
        <v>311</v>
      </c>
      <c r="H15" s="214"/>
      <c r="I15" s="63" t="s">
        <v>311</v>
      </c>
      <c r="J15" s="214"/>
      <c r="K15" s="82" t="s">
        <v>825</v>
      </c>
      <c r="L15" s="938"/>
      <c r="X15" s="42">
        <v>0</v>
      </c>
    </row>
    <row r="16" s="42" customFormat="1" ht="22.5" hidden="1" customHeight="1" spans="1:24">
      <c r="A16" s="914"/>
      <c r="B16" s="43"/>
      <c r="D16" s="231" t="s">
        <v>329</v>
      </c>
      <c r="E16" s="666" t="s">
        <v>826</v>
      </c>
      <c r="F16" s="63" t="s">
        <v>827</v>
      </c>
      <c r="G16" s="760"/>
      <c r="H16" s="214"/>
      <c r="I16" s="760"/>
      <c r="J16" s="214"/>
      <c r="K16" s="82"/>
      <c r="L16" s="938"/>
      <c r="X16" s="42">
        <v>0</v>
      </c>
    </row>
    <row r="17" s="42" customFormat="1" ht="22.5" hidden="1" customHeight="1" spans="1:24">
      <c r="A17" s="914"/>
      <c r="B17" s="43"/>
      <c r="D17" s="231" t="s">
        <v>337</v>
      </c>
      <c r="E17" s="666" t="s">
        <v>828</v>
      </c>
      <c r="F17" s="63" t="s">
        <v>829</v>
      </c>
      <c r="G17" s="760"/>
      <c r="H17" s="214"/>
      <c r="I17" s="760"/>
      <c r="J17" s="214"/>
      <c r="K17" s="82"/>
      <c r="L17" s="938"/>
      <c r="X17" s="42">
        <v>0</v>
      </c>
    </row>
    <row r="18" s="42" customFormat="1" ht="33.75" hidden="1" customHeight="1" spans="1:24">
      <c r="A18" s="914"/>
      <c r="B18" s="43"/>
      <c r="D18" s="231" t="s">
        <v>339</v>
      </c>
      <c r="E18" s="666" t="s">
        <v>830</v>
      </c>
      <c r="F18" s="63" t="s">
        <v>581</v>
      </c>
      <c r="G18" s="761"/>
      <c r="H18" s="214"/>
      <c r="I18" s="761"/>
      <c r="J18" s="214"/>
      <c r="K18" s="82"/>
      <c r="L18" s="938"/>
      <c r="X18" s="42">
        <v>0</v>
      </c>
    </row>
    <row r="19" ht="101.25" hidden="1" customHeight="1" spans="1:24">
      <c r="A19" s="914"/>
      <c r="D19" s="231" t="s">
        <v>92</v>
      </c>
      <c r="E19" s="392" t="s">
        <v>831</v>
      </c>
      <c r="F19" s="915" t="s">
        <v>556</v>
      </c>
      <c r="G19" s="212"/>
      <c r="H19" s="917"/>
      <c r="I19" s="212"/>
      <c r="J19" s="917"/>
      <c r="K19" s="82" t="s">
        <v>832</v>
      </c>
      <c r="L19" s="938"/>
      <c r="X19" s="42">
        <v>0</v>
      </c>
    </row>
    <row r="20" s="42" customFormat="1" ht="18.75" hidden="1" customHeight="1" spans="1:24">
      <c r="A20" s="914"/>
      <c r="C20" s="216"/>
      <c r="D20" s="231" t="s">
        <v>763</v>
      </c>
      <c r="E20" s="666" t="s">
        <v>833</v>
      </c>
      <c r="F20" s="63" t="s">
        <v>311</v>
      </c>
      <c r="G20" s="63" t="s">
        <v>311</v>
      </c>
      <c r="H20" s="70" t="s">
        <v>311</v>
      </c>
      <c r="I20" s="63" t="s">
        <v>311</v>
      </c>
      <c r="J20" s="70" t="s">
        <v>311</v>
      </c>
      <c r="K20" s="125"/>
      <c r="L20" s="938"/>
      <c r="W20" s="749"/>
      <c r="X20" s="42">
        <v>0</v>
      </c>
    </row>
    <row r="21" s="42" customFormat="1" ht="33.75" hidden="1" customHeight="1" spans="1:24">
      <c r="A21" s="914"/>
      <c r="C21" s="216"/>
      <c r="D21" s="231" t="s">
        <v>766</v>
      </c>
      <c r="E21" s="918" t="s">
        <v>834</v>
      </c>
      <c r="F21" s="63" t="s">
        <v>835</v>
      </c>
      <c r="G21" s="761"/>
      <c r="H21" s="214"/>
      <c r="I21" s="761"/>
      <c r="J21" s="214"/>
      <c r="K21" s="125"/>
      <c r="L21" s="938"/>
      <c r="W21" s="749"/>
      <c r="X21" s="42">
        <v>0</v>
      </c>
    </row>
    <row r="22" s="42" customFormat="1" ht="33.75" hidden="1" customHeight="1" spans="1:24">
      <c r="A22" s="914"/>
      <c r="C22" s="216"/>
      <c r="D22" s="231" t="s">
        <v>769</v>
      </c>
      <c r="E22" s="918" t="s">
        <v>836</v>
      </c>
      <c r="F22" s="63" t="s">
        <v>837</v>
      </c>
      <c r="G22" s="761"/>
      <c r="H22" s="214"/>
      <c r="I22" s="761"/>
      <c r="J22" s="214"/>
      <c r="K22" s="125"/>
      <c r="L22" s="938"/>
      <c r="W22" s="749"/>
      <c r="X22" s="42">
        <v>0</v>
      </c>
    </row>
    <row r="23" s="42" customFormat="1" ht="22.5" hidden="1" customHeight="1" spans="1:24">
      <c r="A23" s="914"/>
      <c r="C23" s="216"/>
      <c r="D23" s="231" t="s">
        <v>805</v>
      </c>
      <c r="E23" s="666" t="s">
        <v>838</v>
      </c>
      <c r="F23" s="63" t="s">
        <v>311</v>
      </c>
      <c r="G23" s="63" t="s">
        <v>311</v>
      </c>
      <c r="H23" s="70" t="s">
        <v>311</v>
      </c>
      <c r="I23" s="63" t="s">
        <v>311</v>
      </c>
      <c r="J23" s="70" t="s">
        <v>311</v>
      </c>
      <c r="K23" s="125"/>
      <c r="L23" s="938"/>
      <c r="W23" s="749"/>
      <c r="X23" s="42">
        <v>0</v>
      </c>
    </row>
    <row r="24" s="42" customFormat="1" ht="22.5" hidden="1" customHeight="1" spans="1:24">
      <c r="A24" s="914"/>
      <c r="C24" s="216"/>
      <c r="D24" s="231" t="s">
        <v>839</v>
      </c>
      <c r="E24" s="918" t="s">
        <v>840</v>
      </c>
      <c r="F24" s="63" t="s">
        <v>841</v>
      </c>
      <c r="G24" s="761"/>
      <c r="H24" s="821"/>
      <c r="I24" s="761"/>
      <c r="J24" s="821"/>
      <c r="K24" s="125"/>
      <c r="L24" s="938"/>
      <c r="W24" s="749"/>
      <c r="X24" s="42">
        <v>0</v>
      </c>
    </row>
    <row r="25" s="42" customFormat="1" ht="22.5" hidden="1" customHeight="1" spans="1:24">
      <c r="A25" s="914"/>
      <c r="C25" s="216"/>
      <c r="D25" s="231" t="s">
        <v>842</v>
      </c>
      <c r="E25" s="918" t="s">
        <v>843</v>
      </c>
      <c r="F25" s="63" t="s">
        <v>311</v>
      </c>
      <c r="G25" s="63" t="s">
        <v>311</v>
      </c>
      <c r="H25" s="70" t="s">
        <v>311</v>
      </c>
      <c r="I25" s="63" t="s">
        <v>311</v>
      </c>
      <c r="J25" s="70" t="s">
        <v>311</v>
      </c>
      <c r="K25" s="125"/>
      <c r="L25" s="938"/>
      <c r="W25" s="749"/>
      <c r="X25" s="42">
        <v>0</v>
      </c>
    </row>
    <row r="26" s="42" customFormat="1" ht="18.75" hidden="1" customHeight="1" spans="1:24">
      <c r="A26" s="914"/>
      <c r="C26" s="216"/>
      <c r="D26" s="231" t="s">
        <v>844</v>
      </c>
      <c r="E26" s="919" t="s">
        <v>845</v>
      </c>
      <c r="F26" s="63" t="s">
        <v>846</v>
      </c>
      <c r="G26" s="761"/>
      <c r="H26" s="821"/>
      <c r="I26" s="761"/>
      <c r="J26" s="821"/>
      <c r="K26" s="125"/>
      <c r="L26" s="938"/>
      <c r="W26" s="749"/>
      <c r="X26" s="42">
        <v>0</v>
      </c>
    </row>
    <row r="27" s="42" customFormat="1" ht="18.75" hidden="1" customHeight="1" spans="1:24">
      <c r="A27" s="914"/>
      <c r="C27" s="216"/>
      <c r="D27" s="231" t="s">
        <v>847</v>
      </c>
      <c r="E27" s="919" t="s">
        <v>848</v>
      </c>
      <c r="F27" s="63" t="s">
        <v>849</v>
      </c>
      <c r="G27" s="761"/>
      <c r="H27" s="821"/>
      <c r="I27" s="761"/>
      <c r="J27" s="821"/>
      <c r="K27" s="125"/>
      <c r="L27" s="938"/>
      <c r="W27" s="749"/>
      <c r="X27" s="42">
        <v>0</v>
      </c>
    </row>
    <row r="28" s="42" customFormat="1" ht="18.75" hidden="1" customHeight="1" spans="1:24">
      <c r="A28" s="914"/>
      <c r="C28" s="216"/>
      <c r="D28" s="231" t="s">
        <v>850</v>
      </c>
      <c r="E28" s="918" t="s">
        <v>851</v>
      </c>
      <c r="F28" s="63" t="s">
        <v>311</v>
      </c>
      <c r="G28" s="63" t="s">
        <v>311</v>
      </c>
      <c r="H28" s="70" t="s">
        <v>311</v>
      </c>
      <c r="I28" s="63" t="s">
        <v>311</v>
      </c>
      <c r="J28" s="70" t="s">
        <v>311</v>
      </c>
      <c r="K28" s="125"/>
      <c r="L28" s="938"/>
      <c r="W28" s="749"/>
      <c r="X28" s="42">
        <v>0</v>
      </c>
    </row>
    <row r="29" s="42" customFormat="1" ht="18.75" hidden="1" customHeight="1" spans="1:24">
      <c r="A29" s="914"/>
      <c r="C29" s="216"/>
      <c r="D29" s="231" t="s">
        <v>852</v>
      </c>
      <c r="E29" s="919" t="s">
        <v>845</v>
      </c>
      <c r="F29" s="63" t="s">
        <v>853</v>
      </c>
      <c r="G29" s="761"/>
      <c r="H29" s="821"/>
      <c r="I29" s="761"/>
      <c r="J29" s="821"/>
      <c r="K29" s="125"/>
      <c r="L29" s="938"/>
      <c r="W29" s="749"/>
      <c r="X29" s="42">
        <v>0</v>
      </c>
    </row>
    <row r="30" s="42" customFormat="1" ht="18.75" hidden="1" customHeight="1" spans="1:24">
      <c r="A30" s="914"/>
      <c r="C30" s="216"/>
      <c r="D30" s="231" t="s">
        <v>854</v>
      </c>
      <c r="E30" s="919" t="s">
        <v>855</v>
      </c>
      <c r="F30" s="63" t="s">
        <v>856</v>
      </c>
      <c r="G30" s="761"/>
      <c r="H30" s="821"/>
      <c r="I30" s="761"/>
      <c r="J30" s="821"/>
      <c r="K30" s="125"/>
      <c r="L30" s="938"/>
      <c r="W30" s="749"/>
      <c r="X30" s="42">
        <v>0</v>
      </c>
    </row>
    <row r="31" ht="126.75" hidden="1" customHeight="1" spans="1:24">
      <c r="A31" s="914"/>
      <c r="D31" s="231" t="s">
        <v>113</v>
      </c>
      <c r="E31" s="392" t="s">
        <v>857</v>
      </c>
      <c r="F31" s="915" t="s">
        <v>568</v>
      </c>
      <c r="G31" s="916"/>
      <c r="H31" s="917"/>
      <c r="I31" s="916"/>
      <c r="J31" s="917"/>
      <c r="K31" s="82" t="s">
        <v>858</v>
      </c>
      <c r="L31" s="938"/>
      <c r="X31" s="42">
        <v>0</v>
      </c>
    </row>
    <row r="32" ht="56.25" hidden="1" customHeight="1" spans="1:24">
      <c r="A32" s="914"/>
      <c r="D32" s="231" t="s">
        <v>93</v>
      </c>
      <c r="E32" s="392" t="s">
        <v>859</v>
      </c>
      <c r="F32" s="231" t="s">
        <v>829</v>
      </c>
      <c r="G32" s="916"/>
      <c r="H32" s="917"/>
      <c r="I32" s="916"/>
      <c r="J32" s="917"/>
      <c r="K32" s="82" t="s">
        <v>860</v>
      </c>
      <c r="L32" s="938"/>
      <c r="X32" s="42">
        <v>0</v>
      </c>
    </row>
    <row r="33" hidden="1" customHeight="1" spans="1:24">
      <c r="A33" s="914"/>
      <c r="E33" s="920"/>
      <c r="F33" s="638"/>
      <c r="G33" s="638"/>
      <c r="H33" s="638"/>
      <c r="I33" s="638"/>
      <c r="J33" s="638"/>
      <c r="K33" s="638"/>
      <c r="X33" s="42">
        <v>0</v>
      </c>
    </row>
    <row r="34" ht="12.75" hidden="1" customHeight="1" spans="1:24">
      <c r="A34" s="914"/>
      <c r="D34" s="784">
        <v>1</v>
      </c>
      <c r="E34" s="704" t="s">
        <v>861</v>
      </c>
      <c r="X34" s="42">
        <v>0</v>
      </c>
    </row>
    <row r="35" hidden="1" customHeight="1" spans="1:24">
      <c r="A35" s="914"/>
      <c r="D35" s="784"/>
      <c r="E35" s="704" t="s">
        <v>862</v>
      </c>
      <c r="X35" s="42">
        <v>0</v>
      </c>
    </row>
    <row r="36" s="42" customFormat="1" ht="11.55" customHeight="1" spans="1:24">
      <c r="A36" s="296"/>
      <c r="B36" s="43"/>
      <c r="D36" s="784"/>
      <c r="E36" s="704"/>
      <c r="X36" s="42">
        <v>11</v>
      </c>
    </row>
    <row r="37" s="42" customFormat="1" ht="22.5" customHeight="1" spans="1:24">
      <c r="A37" s="914" t="s">
        <v>863</v>
      </c>
      <c r="B37" s="43"/>
      <c r="D37" s="231">
        <v>1</v>
      </c>
      <c r="E37" s="392" t="s">
        <v>864</v>
      </c>
      <c r="F37" s="915" t="s">
        <v>819</v>
      </c>
      <c r="G37" s="916"/>
      <c r="H37" s="632"/>
      <c r="I37" s="916"/>
      <c r="J37" s="632"/>
      <c r="K37" s="82" t="s">
        <v>865</v>
      </c>
      <c r="X37" s="42">
        <v>0</v>
      </c>
    </row>
    <row r="38" s="42" customFormat="1" ht="22.5" customHeight="1" spans="1:24">
      <c r="A38" s="914"/>
      <c r="B38" s="43"/>
      <c r="D38" s="921" t="s">
        <v>112</v>
      </c>
      <c r="E38" s="922" t="s">
        <v>866</v>
      </c>
      <c r="F38" s="923" t="s">
        <v>556</v>
      </c>
      <c r="G38" s="923" t="s">
        <v>556</v>
      </c>
      <c r="H38" s="924"/>
      <c r="I38" s="923" t="s">
        <v>556</v>
      </c>
      <c r="J38" s="924"/>
      <c r="K38" s="69"/>
      <c r="X38" s="42">
        <v>0</v>
      </c>
    </row>
    <row r="39" s="42" customFormat="1" ht="33.75" customHeight="1" spans="1:24">
      <c r="A39" s="914"/>
      <c r="B39" s="43"/>
      <c r="D39" s="925" t="s">
        <v>721</v>
      </c>
      <c r="E39" s="926" t="s">
        <v>867</v>
      </c>
      <c r="F39" s="915" t="s">
        <v>868</v>
      </c>
      <c r="G39" s="416"/>
      <c r="H39" s="927"/>
      <c r="I39" s="416"/>
      <c r="J39" s="927"/>
      <c r="K39" s="82" t="s">
        <v>869</v>
      </c>
      <c r="X39" s="42">
        <v>0</v>
      </c>
    </row>
    <row r="40" s="42" customFormat="1" ht="33.75" customHeight="1" spans="1:24">
      <c r="A40" s="914"/>
      <c r="B40" s="43"/>
      <c r="D40" s="925" t="s">
        <v>724</v>
      </c>
      <c r="E40" s="926" t="s">
        <v>870</v>
      </c>
      <c r="F40" s="628" t="s">
        <v>871</v>
      </c>
      <c r="G40" s="928"/>
      <c r="H40" s="927"/>
      <c r="I40" s="928"/>
      <c r="J40" s="927"/>
      <c r="K40" s="82" t="s">
        <v>872</v>
      </c>
      <c r="X40" s="42">
        <v>0</v>
      </c>
    </row>
    <row r="41" s="42" customFormat="1" ht="22.5" customHeight="1" spans="1:24">
      <c r="A41" s="914"/>
      <c r="B41" s="43"/>
      <c r="D41" s="925" t="s">
        <v>91</v>
      </c>
      <c r="E41" s="929" t="s">
        <v>873</v>
      </c>
      <c r="F41" s="915" t="s">
        <v>556</v>
      </c>
      <c r="G41" s="915" t="s">
        <v>556</v>
      </c>
      <c r="H41" s="930"/>
      <c r="I41" s="915" t="s">
        <v>556</v>
      </c>
      <c r="J41" s="930"/>
      <c r="K41" s="71"/>
      <c r="X41" s="42">
        <v>0</v>
      </c>
    </row>
    <row r="42" s="42" customFormat="1" ht="45" customHeight="1" spans="1:24">
      <c r="A42" s="914"/>
      <c r="B42" s="43"/>
      <c r="D42" s="925" t="s">
        <v>329</v>
      </c>
      <c r="E42" s="926" t="s">
        <v>874</v>
      </c>
      <c r="F42" s="915" t="s">
        <v>568</v>
      </c>
      <c r="G42" s="916"/>
      <c r="H42" s="930"/>
      <c r="I42" s="916"/>
      <c r="J42" s="930"/>
      <c r="K42" s="71" t="s">
        <v>875</v>
      </c>
      <c r="X42" s="42">
        <v>0</v>
      </c>
    </row>
    <row r="43" s="42" customFormat="1" ht="45" customHeight="1" spans="1:24">
      <c r="A43" s="914"/>
      <c r="B43" s="43"/>
      <c r="D43" s="925" t="s">
        <v>337</v>
      </c>
      <c r="E43" s="931" t="s">
        <v>876</v>
      </c>
      <c r="F43" s="932" t="s">
        <v>568</v>
      </c>
      <c r="G43" s="933"/>
      <c r="H43" s="927"/>
      <c r="I43" s="933"/>
      <c r="J43" s="927"/>
      <c r="K43" s="71" t="s">
        <v>877</v>
      </c>
      <c r="X43" s="42">
        <v>0</v>
      </c>
    </row>
    <row r="44" s="42" customFormat="1" customHeight="1" spans="1:24">
      <c r="A44" s="914"/>
      <c r="B44" s="43"/>
      <c r="D44" s="925" t="s">
        <v>92</v>
      </c>
      <c r="E44" s="934" t="s">
        <v>878</v>
      </c>
      <c r="F44" s="915" t="s">
        <v>868</v>
      </c>
      <c r="G44" s="416"/>
      <c r="H44" s="927"/>
      <c r="I44" s="416"/>
      <c r="J44" s="927"/>
      <c r="K44" s="82"/>
      <c r="X44" s="42">
        <v>0</v>
      </c>
    </row>
    <row r="45" s="42" customFormat="1" customHeight="1" spans="1:24">
      <c r="A45" s="914"/>
      <c r="B45" s="43"/>
      <c r="D45" s="925" t="s">
        <v>763</v>
      </c>
      <c r="E45" s="931" t="s">
        <v>879</v>
      </c>
      <c r="F45" s="915" t="s">
        <v>868</v>
      </c>
      <c r="G45" s="416"/>
      <c r="H45" s="927"/>
      <c r="I45" s="416"/>
      <c r="J45" s="927"/>
      <c r="K45" s="82"/>
      <c r="X45" s="42">
        <v>0</v>
      </c>
    </row>
    <row r="46" s="42" customFormat="1" customHeight="1" spans="1:24">
      <c r="A46" s="914"/>
      <c r="B46" s="43"/>
      <c r="D46" s="925" t="s">
        <v>805</v>
      </c>
      <c r="E46" s="931" t="s">
        <v>880</v>
      </c>
      <c r="F46" s="915" t="s">
        <v>868</v>
      </c>
      <c r="G46" s="416"/>
      <c r="H46" s="927"/>
      <c r="I46" s="416"/>
      <c r="J46" s="927"/>
      <c r="K46" s="82"/>
      <c r="X46" s="42">
        <v>0</v>
      </c>
    </row>
    <row r="47" s="42" customFormat="1" customHeight="1" spans="1:24">
      <c r="A47" s="914"/>
      <c r="B47" s="43"/>
      <c r="D47" s="925" t="s">
        <v>808</v>
      </c>
      <c r="E47" s="931" t="s">
        <v>881</v>
      </c>
      <c r="F47" s="915" t="s">
        <v>868</v>
      </c>
      <c r="G47" s="416"/>
      <c r="H47" s="927"/>
      <c r="I47" s="416"/>
      <c r="J47" s="927"/>
      <c r="K47" s="82"/>
      <c r="X47" s="42">
        <v>0</v>
      </c>
    </row>
    <row r="48" s="42" customFormat="1" customHeight="1" spans="1:24">
      <c r="A48" s="914"/>
      <c r="B48" s="43"/>
      <c r="D48" s="925" t="s">
        <v>882</v>
      </c>
      <c r="E48" s="935" t="s">
        <v>883</v>
      </c>
      <c r="F48" s="915" t="s">
        <v>868</v>
      </c>
      <c r="G48" s="416"/>
      <c r="H48" s="927"/>
      <c r="I48" s="416"/>
      <c r="J48" s="927"/>
      <c r="K48" s="82"/>
      <c r="X48" s="42">
        <v>0</v>
      </c>
    </row>
    <row r="49" s="42" customFormat="1" customHeight="1" spans="1:24">
      <c r="A49" s="914"/>
      <c r="B49" s="43"/>
      <c r="D49" s="925" t="s">
        <v>884</v>
      </c>
      <c r="E49" s="935" t="s">
        <v>885</v>
      </c>
      <c r="F49" s="915" t="s">
        <v>868</v>
      </c>
      <c r="G49" s="416"/>
      <c r="H49" s="927"/>
      <c r="I49" s="416"/>
      <c r="J49" s="927"/>
      <c r="K49" s="82"/>
      <c r="X49" s="42">
        <v>0</v>
      </c>
    </row>
    <row r="50" s="42" customFormat="1" customHeight="1" spans="1:24">
      <c r="A50" s="914"/>
      <c r="B50" s="43"/>
      <c r="D50" s="925" t="s">
        <v>886</v>
      </c>
      <c r="E50" s="931" t="s">
        <v>887</v>
      </c>
      <c r="F50" s="915" t="s">
        <v>868</v>
      </c>
      <c r="G50" s="416"/>
      <c r="H50" s="927"/>
      <c r="I50" s="416"/>
      <c r="J50" s="927"/>
      <c r="K50" s="82"/>
      <c r="X50" s="42">
        <v>0</v>
      </c>
    </row>
    <row r="51" s="42" customFormat="1" customHeight="1" spans="1:24">
      <c r="A51" s="914"/>
      <c r="B51" s="43"/>
      <c r="D51" s="925" t="s">
        <v>888</v>
      </c>
      <c r="E51" s="931" t="s">
        <v>889</v>
      </c>
      <c r="F51" s="915" t="s">
        <v>868</v>
      </c>
      <c r="G51" s="416"/>
      <c r="H51" s="927"/>
      <c r="I51" s="416"/>
      <c r="J51" s="927"/>
      <c r="K51" s="82"/>
      <c r="X51" s="42">
        <v>0</v>
      </c>
    </row>
    <row r="52" s="42" customFormat="1" ht="45" customHeight="1" spans="1:24">
      <c r="A52" s="914"/>
      <c r="B52" s="43"/>
      <c r="D52" s="925" t="s">
        <v>113</v>
      </c>
      <c r="E52" s="934" t="s">
        <v>890</v>
      </c>
      <c r="F52" s="915" t="s">
        <v>868</v>
      </c>
      <c r="G52" s="416"/>
      <c r="H52" s="927"/>
      <c r="I52" s="416"/>
      <c r="J52" s="927"/>
      <c r="K52" s="82"/>
      <c r="X52" s="42">
        <v>0</v>
      </c>
    </row>
    <row r="53" s="42" customFormat="1" customHeight="1" spans="1:24">
      <c r="A53" s="914"/>
      <c r="B53" s="43"/>
      <c r="D53" s="925" t="s">
        <v>318</v>
      </c>
      <c r="E53" s="931" t="s">
        <v>879</v>
      </c>
      <c r="F53" s="915" t="s">
        <v>868</v>
      </c>
      <c r="G53" s="416"/>
      <c r="H53" s="927"/>
      <c r="I53" s="416"/>
      <c r="J53" s="927"/>
      <c r="K53" s="82"/>
      <c r="X53" s="42">
        <v>0</v>
      </c>
    </row>
    <row r="54" s="42" customFormat="1" customHeight="1" spans="1:24">
      <c r="A54" s="914"/>
      <c r="B54" s="43"/>
      <c r="D54" s="925" t="s">
        <v>891</v>
      </c>
      <c r="E54" s="931" t="s">
        <v>880</v>
      </c>
      <c r="F54" s="915" t="s">
        <v>868</v>
      </c>
      <c r="G54" s="416"/>
      <c r="H54" s="927"/>
      <c r="I54" s="416"/>
      <c r="J54" s="927"/>
      <c r="K54" s="82"/>
      <c r="X54" s="42">
        <v>0</v>
      </c>
    </row>
    <row r="55" s="42" customFormat="1" customHeight="1" spans="1:24">
      <c r="A55" s="914"/>
      <c r="B55" s="43"/>
      <c r="D55" s="925" t="s">
        <v>892</v>
      </c>
      <c r="E55" s="931" t="s">
        <v>881</v>
      </c>
      <c r="F55" s="915" t="s">
        <v>868</v>
      </c>
      <c r="G55" s="416"/>
      <c r="H55" s="927"/>
      <c r="I55" s="416"/>
      <c r="J55" s="927"/>
      <c r="K55" s="82"/>
      <c r="X55" s="42">
        <v>0</v>
      </c>
    </row>
    <row r="56" s="42" customFormat="1" customHeight="1" spans="1:24">
      <c r="A56" s="914"/>
      <c r="B56" s="43"/>
      <c r="D56" s="925" t="s">
        <v>893</v>
      </c>
      <c r="E56" s="935" t="s">
        <v>883</v>
      </c>
      <c r="F56" s="915" t="s">
        <v>868</v>
      </c>
      <c r="G56" s="416"/>
      <c r="H56" s="927"/>
      <c r="I56" s="416"/>
      <c r="J56" s="927"/>
      <c r="K56" s="82"/>
      <c r="X56" s="42">
        <v>0</v>
      </c>
    </row>
    <row r="57" s="42" customFormat="1" customHeight="1" spans="1:24">
      <c r="A57" s="914"/>
      <c r="B57" s="43"/>
      <c r="D57" s="925" t="s">
        <v>894</v>
      </c>
      <c r="E57" s="935" t="s">
        <v>885</v>
      </c>
      <c r="F57" s="915" t="s">
        <v>868</v>
      </c>
      <c r="G57" s="416"/>
      <c r="H57" s="927"/>
      <c r="I57" s="416"/>
      <c r="J57" s="927"/>
      <c r="K57" s="82"/>
      <c r="X57" s="42">
        <v>0</v>
      </c>
    </row>
    <row r="58" s="42" customFormat="1" customHeight="1" spans="1:24">
      <c r="A58" s="914"/>
      <c r="B58" s="43"/>
      <c r="D58" s="925" t="s">
        <v>895</v>
      </c>
      <c r="E58" s="931" t="s">
        <v>887</v>
      </c>
      <c r="F58" s="915" t="s">
        <v>868</v>
      </c>
      <c r="G58" s="416"/>
      <c r="H58" s="927"/>
      <c r="I58" s="416"/>
      <c r="J58" s="927"/>
      <c r="K58" s="82"/>
      <c r="X58" s="42">
        <v>0</v>
      </c>
    </row>
    <row r="59" s="42" customFormat="1" customHeight="1" spans="1:24">
      <c r="A59" s="914"/>
      <c r="B59" s="43"/>
      <c r="D59" s="925" t="s">
        <v>896</v>
      </c>
      <c r="E59" s="931" t="s">
        <v>889</v>
      </c>
      <c r="F59" s="915" t="s">
        <v>868</v>
      </c>
      <c r="G59" s="416"/>
      <c r="H59" s="927"/>
      <c r="I59" s="416"/>
      <c r="J59" s="927"/>
      <c r="K59" s="82"/>
      <c r="X59" s="42">
        <v>0</v>
      </c>
    </row>
    <row r="60" s="42" customFormat="1" ht="33.75" customHeight="1" spans="1:24">
      <c r="A60" s="914"/>
      <c r="B60" s="43"/>
      <c r="D60" s="925" t="s">
        <v>93</v>
      </c>
      <c r="E60" s="934" t="s">
        <v>897</v>
      </c>
      <c r="F60" s="936" t="s">
        <v>568</v>
      </c>
      <c r="G60" s="933"/>
      <c r="H60" s="927"/>
      <c r="I60" s="933"/>
      <c r="J60" s="927"/>
      <c r="K60" s="71" t="s">
        <v>898</v>
      </c>
      <c r="X60" s="42">
        <v>0</v>
      </c>
    </row>
    <row r="61" s="42" customFormat="1" ht="33.75" customHeight="1" spans="1:24">
      <c r="A61" s="914"/>
      <c r="B61" s="43"/>
      <c r="D61" s="925" t="s">
        <v>94</v>
      </c>
      <c r="E61" s="934" t="s">
        <v>899</v>
      </c>
      <c r="F61" s="937" t="s">
        <v>829</v>
      </c>
      <c r="G61" s="416"/>
      <c r="H61" s="927"/>
      <c r="I61" s="416"/>
      <c r="J61" s="927"/>
      <c r="K61" s="82"/>
      <c r="X61" s="42">
        <v>0</v>
      </c>
    </row>
    <row r="62" s="42" customFormat="1" ht="22.5" customHeight="1" spans="1:24">
      <c r="A62" s="914"/>
      <c r="B62" s="43" t="s">
        <v>598</v>
      </c>
      <c r="D62" s="925" t="s">
        <v>114</v>
      </c>
      <c r="E62" s="934" t="s">
        <v>900</v>
      </c>
      <c r="F62" s="937" t="s">
        <v>311</v>
      </c>
      <c r="G62" s="575"/>
      <c r="H62" s="927"/>
      <c r="I62" s="575"/>
      <c r="J62" s="927"/>
      <c r="K62" s="82" t="s">
        <v>641</v>
      </c>
      <c r="X62" s="42">
        <v>0</v>
      </c>
    </row>
    <row r="63" s="42" customFormat="1" ht="45" customHeight="1" spans="1:24">
      <c r="A63" s="914"/>
      <c r="B63" s="43" t="s">
        <v>598</v>
      </c>
      <c r="D63" s="925" t="s">
        <v>901</v>
      </c>
      <c r="E63" s="931" t="s">
        <v>902</v>
      </c>
      <c r="F63" s="936" t="s">
        <v>311</v>
      </c>
      <c r="G63" s="575"/>
      <c r="H63" s="927"/>
      <c r="I63" s="575"/>
      <c r="J63" s="927"/>
      <c r="K63" s="82" t="s">
        <v>641</v>
      </c>
      <c r="X63" s="42">
        <v>0</v>
      </c>
    </row>
    <row r="64" s="42" customFormat="1" ht="11.55" customHeight="1" spans="1:24">
      <c r="A64" s="296"/>
      <c r="B64" s="43"/>
      <c r="D64" s="784"/>
      <c r="E64" s="704"/>
      <c r="X64" s="42">
        <v>11</v>
      </c>
    </row>
    <row r="65" s="42" customFormat="1" ht="22.5" hidden="1" customHeight="1" spans="1:24">
      <c r="A65" s="914" t="s">
        <v>903</v>
      </c>
      <c r="B65" s="43"/>
      <c r="D65" s="925">
        <v>1</v>
      </c>
      <c r="E65" s="939" t="s">
        <v>904</v>
      </c>
      <c r="F65" s="940" t="s">
        <v>819</v>
      </c>
      <c r="G65" s="928"/>
      <c r="H65" s="941"/>
      <c r="I65" s="928"/>
      <c r="J65" s="941"/>
      <c r="K65" s="66" t="s">
        <v>905</v>
      </c>
      <c r="X65" s="42">
        <v>0</v>
      </c>
    </row>
    <row r="66" s="42" customFormat="1" ht="56.25" hidden="1" customHeight="1" spans="1:24">
      <c r="A66" s="914"/>
      <c r="B66" s="43"/>
      <c r="D66" s="942" t="s">
        <v>112</v>
      </c>
      <c r="E66" s="392" t="s">
        <v>906</v>
      </c>
      <c r="F66" s="915" t="s">
        <v>556</v>
      </c>
      <c r="G66" s="915" t="s">
        <v>556</v>
      </c>
      <c r="H66" s="632"/>
      <c r="I66" s="915" t="s">
        <v>556</v>
      </c>
      <c r="J66" s="632"/>
      <c r="K66" s="82"/>
      <c r="X66" s="42">
        <v>0</v>
      </c>
    </row>
    <row r="67" s="42" customFormat="1" ht="33.75" hidden="1" customHeight="1" spans="1:24">
      <c r="A67" s="914"/>
      <c r="B67" s="43"/>
      <c r="D67" s="942" t="s">
        <v>718</v>
      </c>
      <c r="E67" s="666" t="s">
        <v>907</v>
      </c>
      <c r="F67" s="915" t="s">
        <v>871</v>
      </c>
      <c r="G67" s="943"/>
      <c r="H67" s="632"/>
      <c r="I67" s="943"/>
      <c r="J67" s="632"/>
      <c r="K67" s="82"/>
      <c r="X67" s="42">
        <v>0</v>
      </c>
    </row>
    <row r="68" s="42" customFormat="1" ht="22.5" hidden="1" customHeight="1" spans="1:24">
      <c r="A68" s="914"/>
      <c r="B68" s="43"/>
      <c r="D68" s="942" t="s">
        <v>312</v>
      </c>
      <c r="E68" s="666" t="s">
        <v>908</v>
      </c>
      <c r="F68" s="915" t="s">
        <v>871</v>
      </c>
      <c r="G68" s="943"/>
      <c r="H68" s="632"/>
      <c r="I68" s="943"/>
      <c r="J68" s="632"/>
      <c r="K68" s="82"/>
      <c r="X68" s="42">
        <v>0</v>
      </c>
    </row>
    <row r="69" s="42" customFormat="1" ht="22.5" hidden="1" customHeight="1" spans="1:24">
      <c r="A69" s="914"/>
      <c r="B69" s="43"/>
      <c r="D69" s="942" t="s">
        <v>315</v>
      </c>
      <c r="E69" s="666" t="s">
        <v>909</v>
      </c>
      <c r="F69" s="936" t="s">
        <v>568</v>
      </c>
      <c r="G69" s="933"/>
      <c r="H69" s="632"/>
      <c r="I69" s="933"/>
      <c r="J69" s="632"/>
      <c r="K69" s="82"/>
      <c r="X69" s="42">
        <v>0</v>
      </c>
    </row>
    <row r="70" s="42" customFormat="1" ht="22.5" hidden="1" customHeight="1" spans="1:24">
      <c r="A70" s="914"/>
      <c r="B70" s="43"/>
      <c r="D70" s="942" t="s">
        <v>738</v>
      </c>
      <c r="E70" s="666" t="s">
        <v>910</v>
      </c>
      <c r="F70" s="936" t="s">
        <v>568</v>
      </c>
      <c r="G70" s="933"/>
      <c r="H70" s="632"/>
      <c r="I70" s="933"/>
      <c r="J70" s="632"/>
      <c r="K70" s="82"/>
      <c r="X70" s="42">
        <v>0</v>
      </c>
    </row>
    <row r="71" s="42" customFormat="1" ht="22.5" hidden="1" customHeight="1" spans="1:24">
      <c r="A71" s="914"/>
      <c r="B71" s="43"/>
      <c r="D71" s="925" t="s">
        <v>91</v>
      </c>
      <c r="E71" s="934" t="s">
        <v>911</v>
      </c>
      <c r="F71" s="915" t="s">
        <v>871</v>
      </c>
      <c r="G71" s="916"/>
      <c r="H71" s="924"/>
      <c r="I71" s="916"/>
      <c r="J71" s="924"/>
      <c r="K71" s="71"/>
      <c r="X71" s="42">
        <v>0</v>
      </c>
    </row>
    <row r="72" s="42" customFormat="1" ht="56.25" hidden="1" customHeight="1" spans="1:24">
      <c r="A72" s="914"/>
      <c r="B72" s="43"/>
      <c r="D72" s="925" t="s">
        <v>92</v>
      </c>
      <c r="E72" s="934" t="s">
        <v>912</v>
      </c>
      <c r="F72" s="936" t="s">
        <v>568</v>
      </c>
      <c r="G72" s="933"/>
      <c r="H72" s="927"/>
      <c r="I72" s="933"/>
      <c r="J72" s="927"/>
      <c r="K72" s="71"/>
      <c r="X72" s="42">
        <v>0</v>
      </c>
    </row>
    <row r="73" s="42" customFormat="1" ht="33.75" hidden="1" customHeight="1" spans="1:24">
      <c r="A73" s="914"/>
      <c r="B73" s="43"/>
      <c r="D73" s="925" t="s">
        <v>113</v>
      </c>
      <c r="E73" s="934" t="s">
        <v>913</v>
      </c>
      <c r="F73" s="937" t="s">
        <v>829</v>
      </c>
      <c r="G73" s="416"/>
      <c r="H73" s="927"/>
      <c r="I73" s="416"/>
      <c r="J73" s="927"/>
      <c r="K73" s="82"/>
      <c r="X73" s="42">
        <v>0</v>
      </c>
    </row>
    <row r="74" s="42" customFormat="1" ht="22.5" hidden="1" customHeight="1" spans="1:24">
      <c r="A74" s="914"/>
      <c r="B74" s="43" t="s">
        <v>598</v>
      </c>
      <c r="D74" s="925" t="s">
        <v>93</v>
      </c>
      <c r="E74" s="934" t="s">
        <v>914</v>
      </c>
      <c r="F74" s="937" t="s">
        <v>311</v>
      </c>
      <c r="G74" s="575"/>
      <c r="H74" s="927"/>
      <c r="I74" s="575"/>
      <c r="J74" s="927"/>
      <c r="K74" s="82" t="s">
        <v>641</v>
      </c>
      <c r="X74" s="42">
        <v>0</v>
      </c>
    </row>
    <row r="75" s="42" customFormat="1" ht="45" hidden="1" customHeight="1" spans="1:24">
      <c r="A75" s="914"/>
      <c r="B75" s="43" t="s">
        <v>598</v>
      </c>
      <c r="D75" s="925" t="s">
        <v>662</v>
      </c>
      <c r="E75" s="931" t="s">
        <v>915</v>
      </c>
      <c r="F75" s="936" t="s">
        <v>311</v>
      </c>
      <c r="G75" s="575"/>
      <c r="H75" s="927"/>
      <c r="I75" s="575"/>
      <c r="J75" s="927"/>
      <c r="K75" s="82" t="s">
        <v>641</v>
      </c>
      <c r="X75" s="42">
        <v>0</v>
      </c>
    </row>
    <row r="76" s="42" customFormat="1" ht="11.55" customHeight="1" spans="1:24">
      <c r="A76" s="296"/>
      <c r="B76" s="43"/>
      <c r="D76" s="784"/>
      <c r="E76" s="704"/>
      <c r="X76" s="42">
        <v>11</v>
      </c>
    </row>
    <row r="77" s="42" customFormat="1" hidden="1" customHeight="1" spans="1:24">
      <c r="A77" s="914" t="s">
        <v>916</v>
      </c>
      <c r="B77" s="43"/>
      <c r="D77" s="925">
        <v>1</v>
      </c>
      <c r="E77" s="934" t="s">
        <v>917</v>
      </c>
      <c r="F77" s="936" t="s">
        <v>819</v>
      </c>
      <c r="G77" s="417"/>
      <c r="H77" s="927"/>
      <c r="I77" s="417"/>
      <c r="J77" s="927"/>
      <c r="K77" s="82" t="s">
        <v>918</v>
      </c>
      <c r="X77" s="42">
        <v>0</v>
      </c>
    </row>
    <row r="78" s="42" customFormat="1" hidden="1" customHeight="1" spans="1:24">
      <c r="A78" s="914"/>
      <c r="B78" s="43"/>
      <c r="D78" s="925" t="s">
        <v>112</v>
      </c>
      <c r="E78" s="934" t="s">
        <v>919</v>
      </c>
      <c r="F78" s="936" t="s">
        <v>819</v>
      </c>
      <c r="G78" s="417"/>
      <c r="H78" s="927"/>
      <c r="I78" s="417"/>
      <c r="J78" s="927"/>
      <c r="K78" s="82" t="s">
        <v>920</v>
      </c>
      <c r="X78" s="42">
        <v>0</v>
      </c>
    </row>
    <row r="79" s="42" customFormat="1" ht="22.5" hidden="1" customHeight="1" spans="1:24">
      <c r="A79" s="914"/>
      <c r="B79" s="43"/>
      <c r="D79" s="925" t="s">
        <v>91</v>
      </c>
      <c r="E79" s="929" t="s">
        <v>921</v>
      </c>
      <c r="F79" s="915" t="s">
        <v>868</v>
      </c>
      <c r="G79" s="417"/>
      <c r="H79" s="927"/>
      <c r="I79" s="417"/>
      <c r="J79" s="927"/>
      <c r="K79" s="82" t="s">
        <v>922</v>
      </c>
      <c r="X79" s="42">
        <v>0</v>
      </c>
    </row>
    <row r="80" s="42" customFormat="1" hidden="1" customHeight="1" spans="1:24">
      <c r="A80" s="914"/>
      <c r="B80" s="43"/>
      <c r="D80" s="925" t="s">
        <v>329</v>
      </c>
      <c r="E80" s="926" t="s">
        <v>923</v>
      </c>
      <c r="F80" s="915" t="s">
        <v>868</v>
      </c>
      <c r="G80" s="417"/>
      <c r="H80" s="927"/>
      <c r="I80" s="417"/>
      <c r="J80" s="927"/>
      <c r="K80" s="82"/>
      <c r="X80" s="42">
        <v>0</v>
      </c>
    </row>
    <row r="81" s="42" customFormat="1" hidden="1" customHeight="1" spans="1:24">
      <c r="A81" s="914"/>
      <c r="B81" s="43"/>
      <c r="D81" s="925" t="s">
        <v>337</v>
      </c>
      <c r="E81" s="926" t="s">
        <v>924</v>
      </c>
      <c r="F81" s="915" t="s">
        <v>868</v>
      </c>
      <c r="G81" s="417"/>
      <c r="H81" s="927"/>
      <c r="I81" s="417"/>
      <c r="J81" s="927"/>
      <c r="K81" s="82"/>
      <c r="X81" s="42">
        <v>0</v>
      </c>
    </row>
    <row r="82" s="42" customFormat="1" hidden="1" customHeight="1" spans="1:24">
      <c r="A82" s="914"/>
      <c r="B82" s="43"/>
      <c r="D82" s="925" t="s">
        <v>339</v>
      </c>
      <c r="E82" s="926" t="s">
        <v>925</v>
      </c>
      <c r="F82" s="915" t="s">
        <v>868</v>
      </c>
      <c r="G82" s="417"/>
      <c r="H82" s="927"/>
      <c r="I82" s="417"/>
      <c r="J82" s="927"/>
      <c r="K82" s="82"/>
      <c r="X82" s="42">
        <v>0</v>
      </c>
    </row>
    <row r="83" s="42" customFormat="1" hidden="1" customHeight="1" spans="1:24">
      <c r="A83" s="914"/>
      <c r="B83" s="43"/>
      <c r="D83" s="925" t="s">
        <v>341</v>
      </c>
      <c r="E83" s="926" t="s">
        <v>926</v>
      </c>
      <c r="F83" s="915" t="s">
        <v>868</v>
      </c>
      <c r="G83" s="417"/>
      <c r="H83" s="927"/>
      <c r="I83" s="417"/>
      <c r="J83" s="927"/>
      <c r="K83" s="82"/>
      <c r="X83" s="42">
        <v>0</v>
      </c>
    </row>
    <row r="84" s="42" customFormat="1" hidden="1" customHeight="1" spans="1:24">
      <c r="A84" s="914"/>
      <c r="B84" s="43"/>
      <c r="D84" s="925" t="s">
        <v>927</v>
      </c>
      <c r="E84" s="926" t="s">
        <v>928</v>
      </c>
      <c r="F84" s="915" t="s">
        <v>868</v>
      </c>
      <c r="G84" s="417"/>
      <c r="H84" s="927"/>
      <c r="I84" s="417"/>
      <c r="J84" s="927"/>
      <c r="K84" s="82"/>
      <c r="X84" s="42">
        <v>0</v>
      </c>
    </row>
    <row r="85" s="42" customFormat="1" hidden="1" customHeight="1" spans="1:24">
      <c r="A85" s="914"/>
      <c r="B85" s="43"/>
      <c r="D85" s="925" t="s">
        <v>929</v>
      </c>
      <c r="E85" s="926" t="s">
        <v>930</v>
      </c>
      <c r="F85" s="915" t="s">
        <v>868</v>
      </c>
      <c r="G85" s="417"/>
      <c r="H85" s="927"/>
      <c r="I85" s="417"/>
      <c r="J85" s="927"/>
      <c r="K85" s="82"/>
      <c r="X85" s="42">
        <v>0</v>
      </c>
    </row>
    <row r="86" s="42" customFormat="1" hidden="1" customHeight="1" spans="1:24">
      <c r="A86" s="914"/>
      <c r="B86" s="43"/>
      <c r="D86" s="925" t="s">
        <v>931</v>
      </c>
      <c r="E86" s="926" t="s">
        <v>932</v>
      </c>
      <c r="F86" s="915" t="s">
        <v>868</v>
      </c>
      <c r="G86" s="417"/>
      <c r="H86" s="927"/>
      <c r="I86" s="417"/>
      <c r="J86" s="927"/>
      <c r="K86" s="82"/>
      <c r="X86" s="42">
        <v>0</v>
      </c>
    </row>
    <row r="87" s="42" customFormat="1" ht="45" hidden="1" customHeight="1" spans="1:24">
      <c r="A87" s="914"/>
      <c r="B87" s="43"/>
      <c r="D87" s="925" t="s">
        <v>92</v>
      </c>
      <c r="E87" s="934" t="s">
        <v>933</v>
      </c>
      <c r="F87" s="915" t="s">
        <v>868</v>
      </c>
      <c r="G87" s="417"/>
      <c r="H87" s="927"/>
      <c r="I87" s="417"/>
      <c r="J87" s="927"/>
      <c r="K87" s="82" t="s">
        <v>934</v>
      </c>
      <c r="X87" s="42">
        <v>0</v>
      </c>
    </row>
    <row r="88" s="42" customFormat="1" hidden="1" customHeight="1" spans="1:24">
      <c r="A88" s="914"/>
      <c r="B88" s="43"/>
      <c r="D88" s="925" t="s">
        <v>763</v>
      </c>
      <c r="E88" s="926" t="s">
        <v>923</v>
      </c>
      <c r="F88" s="915" t="s">
        <v>868</v>
      </c>
      <c r="G88" s="417"/>
      <c r="H88" s="927"/>
      <c r="I88" s="417"/>
      <c r="J88" s="927"/>
      <c r="K88" s="82"/>
      <c r="X88" s="42">
        <v>0</v>
      </c>
    </row>
    <row r="89" s="42" customFormat="1" hidden="1" customHeight="1" spans="1:24">
      <c r="A89" s="914"/>
      <c r="B89" s="43"/>
      <c r="D89" s="925" t="s">
        <v>805</v>
      </c>
      <c r="E89" s="926" t="s">
        <v>924</v>
      </c>
      <c r="F89" s="915" t="s">
        <v>868</v>
      </c>
      <c r="G89" s="417"/>
      <c r="H89" s="927"/>
      <c r="I89" s="417"/>
      <c r="J89" s="927"/>
      <c r="K89" s="82"/>
      <c r="X89" s="42">
        <v>0</v>
      </c>
    </row>
    <row r="90" s="42" customFormat="1" hidden="1" customHeight="1" spans="1:24">
      <c r="A90" s="914"/>
      <c r="B90" s="43"/>
      <c r="D90" s="925" t="s">
        <v>808</v>
      </c>
      <c r="E90" s="926" t="s">
        <v>925</v>
      </c>
      <c r="F90" s="915" t="s">
        <v>868</v>
      </c>
      <c r="G90" s="417"/>
      <c r="H90" s="927"/>
      <c r="I90" s="417"/>
      <c r="J90" s="927"/>
      <c r="K90" s="82"/>
      <c r="X90" s="42">
        <v>0</v>
      </c>
    </row>
    <row r="91" s="42" customFormat="1" hidden="1" customHeight="1" spans="1:24">
      <c r="A91" s="914"/>
      <c r="B91" s="43"/>
      <c r="D91" s="925" t="s">
        <v>886</v>
      </c>
      <c r="E91" s="926" t="s">
        <v>926</v>
      </c>
      <c r="F91" s="915" t="s">
        <v>868</v>
      </c>
      <c r="G91" s="417"/>
      <c r="H91" s="927"/>
      <c r="I91" s="417"/>
      <c r="J91" s="927"/>
      <c r="K91" s="82"/>
      <c r="X91" s="42">
        <v>0</v>
      </c>
    </row>
    <row r="92" s="42" customFormat="1" hidden="1" customHeight="1" spans="1:24">
      <c r="A92" s="914"/>
      <c r="B92" s="43"/>
      <c r="D92" s="925" t="s">
        <v>888</v>
      </c>
      <c r="E92" s="926" t="s">
        <v>928</v>
      </c>
      <c r="F92" s="915" t="s">
        <v>868</v>
      </c>
      <c r="G92" s="417"/>
      <c r="H92" s="927"/>
      <c r="I92" s="417"/>
      <c r="J92" s="927"/>
      <c r="K92" s="82"/>
      <c r="X92" s="42">
        <v>0</v>
      </c>
    </row>
    <row r="93" s="42" customFormat="1" hidden="1" customHeight="1" spans="1:24">
      <c r="A93" s="914"/>
      <c r="B93" s="43"/>
      <c r="D93" s="925" t="s">
        <v>935</v>
      </c>
      <c r="E93" s="926" t="s">
        <v>930</v>
      </c>
      <c r="F93" s="915" t="s">
        <v>868</v>
      </c>
      <c r="G93" s="417"/>
      <c r="H93" s="927"/>
      <c r="I93" s="417"/>
      <c r="J93" s="927"/>
      <c r="K93" s="82"/>
      <c r="X93" s="42">
        <v>0</v>
      </c>
    </row>
    <row r="94" s="42" customFormat="1" hidden="1" customHeight="1" spans="1:24">
      <c r="A94" s="914"/>
      <c r="B94" s="43"/>
      <c r="D94" s="925" t="s">
        <v>936</v>
      </c>
      <c r="E94" s="926" t="s">
        <v>932</v>
      </c>
      <c r="F94" s="915" t="s">
        <v>868</v>
      </c>
      <c r="G94" s="417"/>
      <c r="H94" s="927"/>
      <c r="I94" s="417"/>
      <c r="J94" s="927"/>
      <c r="K94" s="82"/>
      <c r="X94" s="42">
        <v>0</v>
      </c>
    </row>
    <row r="95" s="42" customFormat="1" ht="24.75" hidden="1" customHeight="1" spans="1:24">
      <c r="A95" s="914"/>
      <c r="B95" s="43"/>
      <c r="D95" s="925" t="s">
        <v>113</v>
      </c>
      <c r="E95" s="934" t="s">
        <v>937</v>
      </c>
      <c r="F95" s="944" t="s">
        <v>568</v>
      </c>
      <c r="G95" s="943"/>
      <c r="H95" s="927"/>
      <c r="I95" s="943"/>
      <c r="J95" s="927"/>
      <c r="K95" s="82" t="s">
        <v>938</v>
      </c>
      <c r="X95" s="42">
        <v>0</v>
      </c>
    </row>
    <row r="96" s="42" customFormat="1" ht="33.75" hidden="1" customHeight="1" spans="1:24">
      <c r="A96" s="914"/>
      <c r="B96" s="43"/>
      <c r="D96" s="925" t="s">
        <v>93</v>
      </c>
      <c r="E96" s="934" t="s">
        <v>939</v>
      </c>
      <c r="F96" s="937" t="s">
        <v>829</v>
      </c>
      <c r="G96" s="945"/>
      <c r="H96" s="927"/>
      <c r="I96" s="945"/>
      <c r="J96" s="927"/>
      <c r="K96" s="82"/>
      <c r="X96" s="42">
        <v>0</v>
      </c>
    </row>
    <row r="97" s="42" customFormat="1" ht="22.5" hidden="1" customHeight="1" spans="1:24">
      <c r="A97" s="914"/>
      <c r="B97" s="43" t="s">
        <v>598</v>
      </c>
      <c r="D97" s="925" t="s">
        <v>94</v>
      </c>
      <c r="E97" s="934" t="s">
        <v>940</v>
      </c>
      <c r="F97" s="937" t="s">
        <v>311</v>
      </c>
      <c r="G97" s="815"/>
      <c r="H97" s="927"/>
      <c r="I97" s="815"/>
      <c r="J97" s="927"/>
      <c r="K97" s="82" t="s">
        <v>641</v>
      </c>
      <c r="X97" s="42">
        <v>0</v>
      </c>
    </row>
    <row r="98" s="42" customFormat="1" ht="45" hidden="1" customHeight="1" spans="1:24">
      <c r="A98" s="914"/>
      <c r="B98" s="43" t="s">
        <v>598</v>
      </c>
      <c r="D98" s="925" t="s">
        <v>941</v>
      </c>
      <c r="E98" s="931" t="s">
        <v>942</v>
      </c>
      <c r="F98" s="936" t="s">
        <v>311</v>
      </c>
      <c r="G98" s="815"/>
      <c r="H98" s="927"/>
      <c r="I98" s="815"/>
      <c r="J98" s="927"/>
      <c r="K98" s="82" t="s">
        <v>641</v>
      </c>
      <c r="X98" s="42">
        <v>0</v>
      </c>
    </row>
    <row r="99" s="42" customFormat="1" ht="95.25" hidden="1" customHeight="1" spans="1:24">
      <c r="A99" s="914"/>
      <c r="B99" s="43" t="s">
        <v>598</v>
      </c>
      <c r="D99" s="925" t="s">
        <v>114</v>
      </c>
      <c r="E99" s="934" t="s">
        <v>943</v>
      </c>
      <c r="F99" s="936" t="s">
        <v>311</v>
      </c>
      <c r="G99" s="815"/>
      <c r="H99" s="927"/>
      <c r="I99" s="815"/>
      <c r="J99" s="927"/>
      <c r="K99" s="82" t="s">
        <v>641</v>
      </c>
      <c r="X99" s="42">
        <v>0</v>
      </c>
    </row>
    <row r="100" s="42" customFormat="1" ht="22.5" hidden="1" customHeight="1" spans="1:24">
      <c r="A100" s="914"/>
      <c r="B100" s="43" t="s">
        <v>598</v>
      </c>
      <c r="D100" s="925" t="s">
        <v>150</v>
      </c>
      <c r="E100" s="934" t="s">
        <v>944</v>
      </c>
      <c r="F100" s="936" t="s">
        <v>311</v>
      </c>
      <c r="G100" s="815"/>
      <c r="H100" s="927"/>
      <c r="I100" s="815"/>
      <c r="J100" s="927"/>
      <c r="K100" s="82" t="s">
        <v>641</v>
      </c>
      <c r="X100" s="42">
        <v>0</v>
      </c>
    </row>
    <row r="101" s="42" customFormat="1" ht="11.55" customHeight="1" spans="1:24">
      <c r="A101" s="296"/>
      <c r="B101" s="43"/>
      <c r="D101" s="784"/>
      <c r="E101" s="704"/>
      <c r="X101" s="42">
        <v>11</v>
      </c>
    </row>
    <row r="102" ht="22.5" hidden="1" customHeight="1" spans="1:24">
      <c r="A102" s="296" t="s">
        <v>83</v>
      </c>
      <c r="B102" s="43">
        <v>0</v>
      </c>
      <c r="C102" s="42">
        <v>3</v>
      </c>
      <c r="D102" s="42">
        <v>7</v>
      </c>
      <c r="E102" s="42">
        <v>69</v>
      </c>
      <c r="F102" s="42">
        <v>10</v>
      </c>
      <c r="G102" s="42">
        <v>0</v>
      </c>
      <c r="H102" s="42">
        <v>0</v>
      </c>
      <c r="I102" s="42">
        <v>43</v>
      </c>
      <c r="J102" s="42">
        <v>43</v>
      </c>
      <c r="K102" s="42">
        <v>73</v>
      </c>
      <c r="L102" s="42">
        <v>3</v>
      </c>
      <c r="M102" s="42">
        <v>10</v>
      </c>
      <c r="N102" s="42">
        <v>10</v>
      </c>
      <c r="O102" s="42">
        <v>10</v>
      </c>
      <c r="P102" s="42">
        <v>10</v>
      </c>
      <c r="Q102" s="42">
        <v>10</v>
      </c>
      <c r="R102" s="42">
        <v>10</v>
      </c>
      <c r="S102" s="42">
        <v>10</v>
      </c>
      <c r="T102" s="42">
        <v>10</v>
      </c>
      <c r="U102" s="42">
        <v>10</v>
      </c>
      <c r="V102" s="42">
        <v>10</v>
      </c>
      <c r="W102" s="42">
        <v>10</v>
      </c>
      <c r="X102" s="42">
        <v>23</v>
      </c>
    </row>
  </sheetData>
  <sheetProtection formatColumns="0" formatRows="0" insertRows="0" deleteColumns="0" deleteRows="0" sort="0" autoFilter="0"/>
  <mergeCells count="18">
    <mergeCell ref="D3:F3"/>
    <mergeCell ref="D4:F4"/>
    <mergeCell ref="E7:F7"/>
    <mergeCell ref="G7:H7"/>
    <mergeCell ref="I7:J7"/>
    <mergeCell ref="E8:F8"/>
    <mergeCell ref="G8:H8"/>
    <mergeCell ref="I8:J8"/>
    <mergeCell ref="E9:F9"/>
    <mergeCell ref="G9:H9"/>
    <mergeCell ref="I9:J9"/>
    <mergeCell ref="D10:J10"/>
    <mergeCell ref="A11:B11"/>
    <mergeCell ref="A13:A35"/>
    <mergeCell ref="A37:A63"/>
    <mergeCell ref="A65:A75"/>
    <mergeCell ref="A77:A100"/>
    <mergeCell ref="K7:K11"/>
  </mergeCells>
  <dataValidations count="6">
    <dataValidation type="decimal" operator="between" allowBlank="1" showErrorMessage="1" errorTitle="Ошибка" error="Допускается ввод только неотрицательных чисел!" sqref="G18 I18 G24 I24 G32 I32 G37 I37 G61 I61 G65 I65 G71 I71 G73 I73 G96 I96 G13:G14 G21:G22 G26:G27 G29:G30 G39:G40 G44:G59 G67:G68 G77:G94 I13:I14 I21:I22 I26:I27 I29:I30 I39:I40 I44:I59 I67:I68 I77:I94">
      <formula1>0</formula1>
      <formula2>9.99999999999999E+23</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9 J19 G62:G63 G74:G75 G97:G100 H13:H14 H31:H32 I62:I63 I74:I75 I97:I100 J13:J14 J31:J32">
      <formula1>900</formula1>
    </dataValidation>
    <dataValidation type="textLength" operator="lessThanOrEqual" allowBlank="1" showInputMessage="1" showErrorMessage="1" errorTitle="Ошибка" error="Допускается ввод не более 900 символов!" sqref="H24 J24 H15:H18 H21:H22 H26:H27 H29:H30 J15:J18 J21:J22 J26:J27 J29:J30">
      <formula1>900</formula1>
    </dataValidation>
    <dataValidation type="decimal" operator="between" allowBlank="1" showErrorMessage="1" errorTitle="Ошибка" error="Введите значение от 0 до 100%" sqref="G31 I31 G60 I60 G72 I72 G95 I95 G42:G43 G69:G70 I42:I43 I69:I70">
      <formula1>0</formula1>
      <formula2>100</formula2>
    </dataValidation>
    <dataValidation type="whole" operator="between" allowBlank="1" showErrorMessage="1" errorTitle="Ошибка" error="Допускается ввод только неотрицательных целых чисел!" sqref="G16:G17 I16:I17">
      <formula1>0</formula1>
      <formula2>9.99999999999999E+23</formula2>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AM17"/>
  <sheetViews>
    <sheetView showGridLines="0" zoomScale="90" zoomScaleNormal="90" workbookViewId="0">
      <pane xSplit="4" ySplit="12" topLeftCell="E13" activePane="bottomRight" state="frozen"/>
      <selection/>
      <selection pane="topRight"/>
      <selection pane="bottomLeft"/>
      <selection pane="bottomRight" activeCell="A1" sqref="A1"/>
    </sheetView>
  </sheetViews>
  <sheetFormatPr defaultColWidth="9.14285714285714" defaultRowHeight="11.25" customHeight="1"/>
  <cols>
    <col min="1" max="1" width="6.41904761904762" style="35" hidden="1" customWidth="1"/>
    <col min="2" max="2" width="2" style="35" hidden="1" customWidth="1"/>
    <col min="3" max="3" width="3" style="35" customWidth="1"/>
    <col min="4" max="4" width="4" style="35" customWidth="1"/>
    <col min="5" max="5" width="44" style="35" customWidth="1"/>
    <col min="6" max="6" width="6.41904761904762"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44" customWidth="1"/>
    <col min="15" max="20" width="9.14285714285714" style="150" hidden="1"/>
    <col min="21" max="24" width="9.14285714285714" style="500" hidden="1"/>
    <col min="25" max="37" width="9.14285714285714" style="44" hidden="1"/>
    <col min="38" max="38" width="8" style="44" customWidth="1"/>
    <col min="39" max="39" width="9.14285714285714" style="35" hidden="1"/>
  </cols>
  <sheetData>
    <row r="1" hidden="1" customHeight="1" spans="39:39">
      <c r="AM1" s="35" t="s">
        <v>14</v>
      </c>
    </row>
    <row r="2" hidden="1" customHeight="1" spans="39:39">
      <c r="AM2" s="35">
        <v>0</v>
      </c>
    </row>
    <row r="3" ht="11.55" customHeight="1" spans="39:39">
      <c r="AM3" s="35">
        <v>11</v>
      </c>
    </row>
    <row r="4" ht="35.7" customHeight="1" spans="1:39">
      <c r="A4" s="500"/>
      <c r="B4" s="500"/>
      <c r="D4" s="654" t="str">
        <f>Титульный!E5</f>
        <v>Показатели, подлежащие раскрытию в сфере холодного водоснабжения (цены и тарифы)</v>
      </c>
      <c r="E4" s="655"/>
      <c r="F4" s="655"/>
      <c r="G4" s="655"/>
      <c r="H4" s="655"/>
      <c r="I4" s="656"/>
      <c r="J4" s="44"/>
      <c r="K4" s="44"/>
      <c r="L4" s="44"/>
      <c r="M4" s="44"/>
      <c r="AM4" s="35">
        <v>34</v>
      </c>
    </row>
    <row r="5" s="1253" customFormat="1" ht="14.7" customHeight="1" spans="1:39">
      <c r="A5" s="500"/>
      <c r="B5" s="500"/>
      <c r="C5" s="500"/>
      <c r="D5" s="1276" t="str">
        <f>IF(org=0,"Не определено",org)</f>
        <v>АО "ОЭЗ ППТ "Алабуга"</v>
      </c>
      <c r="E5" s="1277"/>
      <c r="F5" s="1277"/>
      <c r="G5" s="1277"/>
      <c r="H5" s="1277"/>
      <c r="I5" s="1296"/>
      <c r="J5" s="1268"/>
      <c r="K5" s="1268"/>
      <c r="L5" s="1268"/>
      <c r="M5" s="1268"/>
      <c r="N5" s="1268"/>
      <c r="O5" s="1255"/>
      <c r="P5" s="1255"/>
      <c r="Q5" s="1255"/>
      <c r="R5" s="1255"/>
      <c r="S5" s="1255"/>
      <c r="T5" s="1255"/>
      <c r="U5" s="1271"/>
      <c r="V5" s="1271"/>
      <c r="W5" s="1271"/>
      <c r="X5" s="1271"/>
      <c r="Y5" s="1268"/>
      <c r="Z5" s="1268"/>
      <c r="AA5" s="1268"/>
      <c r="AB5" s="1268"/>
      <c r="AC5" s="1268"/>
      <c r="AD5" s="1268"/>
      <c r="AE5" s="1268"/>
      <c r="AF5" s="1268"/>
      <c r="AG5" s="1268"/>
      <c r="AH5" s="1268"/>
      <c r="AI5" s="1268"/>
      <c r="AJ5" s="1268"/>
      <c r="AK5" s="1268"/>
      <c r="AL5" s="1268"/>
      <c r="AM5" s="1253">
        <v>14</v>
      </c>
    </row>
    <row r="6" s="1253" customFormat="1" ht="6.3" customHeight="1" spans="1:39">
      <c r="A6" s="85"/>
      <c r="B6" s="85"/>
      <c r="C6" s="85"/>
      <c r="D6" s="85"/>
      <c r="E6" s="85"/>
      <c r="F6" s="85"/>
      <c r="G6" s="42"/>
      <c r="H6" s="42"/>
      <c r="I6" s="42"/>
      <c r="J6" s="42"/>
      <c r="K6" s="42"/>
      <c r="N6" s="1268"/>
      <c r="O6" s="1255"/>
      <c r="P6" s="1255"/>
      <c r="Q6" s="1255"/>
      <c r="R6" s="1255"/>
      <c r="S6" s="1255"/>
      <c r="T6" s="1255"/>
      <c r="U6" s="1271"/>
      <c r="V6" s="1271"/>
      <c r="W6" s="1271"/>
      <c r="X6" s="1271"/>
      <c r="Y6" s="1268"/>
      <c r="Z6" s="1268"/>
      <c r="AA6" s="1268"/>
      <c r="AB6" s="1268"/>
      <c r="AC6" s="1268"/>
      <c r="AD6" s="1268"/>
      <c r="AE6" s="1268"/>
      <c r="AF6" s="1268"/>
      <c r="AG6" s="1268"/>
      <c r="AH6" s="1268"/>
      <c r="AI6" s="1268"/>
      <c r="AJ6" s="1268"/>
      <c r="AK6" s="1268"/>
      <c r="AL6" s="1268"/>
      <c r="AM6" s="1253">
        <v>6</v>
      </c>
    </row>
    <row r="7" ht="45.75" hidden="1" customHeight="1" spans="5:39">
      <c r="E7" s="127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279"/>
      <c r="G7" s="1279"/>
      <c r="H7" s="1279"/>
      <c r="I7" s="1279"/>
      <c r="J7" s="1279"/>
      <c r="K7" s="1279"/>
      <c r="L7" s="1279"/>
      <c r="M7" s="1279"/>
      <c r="AM7" s="35">
        <v>0</v>
      </c>
    </row>
    <row r="8" s="1253" customFormat="1" ht="6.3" customHeight="1" spans="1:39">
      <c r="A8" s="1259"/>
      <c r="B8" s="1259"/>
      <c r="C8" s="1259"/>
      <c r="D8" s="1259"/>
      <c r="E8" s="1259"/>
      <c r="F8" s="1259"/>
      <c r="G8" s="1259"/>
      <c r="H8" s="1259"/>
      <c r="I8" s="1259"/>
      <c r="J8" s="1259"/>
      <c r="K8" s="1259"/>
      <c r="L8" s="1259"/>
      <c r="N8" s="1268"/>
      <c r="O8" s="1255"/>
      <c r="P8" s="1255"/>
      <c r="Q8" s="1255"/>
      <c r="R8" s="1255"/>
      <c r="S8" s="1255"/>
      <c r="T8" s="1255"/>
      <c r="U8" s="1271"/>
      <c r="V8" s="1271"/>
      <c r="W8" s="1271"/>
      <c r="X8" s="1271"/>
      <c r="Y8" s="1268"/>
      <c r="Z8" s="1268"/>
      <c r="AA8" s="1268"/>
      <c r="AB8" s="1268"/>
      <c r="AC8" s="1268"/>
      <c r="AD8" s="1268"/>
      <c r="AE8" s="1268"/>
      <c r="AF8" s="1268"/>
      <c r="AG8" s="1268"/>
      <c r="AH8" s="1268"/>
      <c r="AI8" s="1268"/>
      <c r="AJ8" s="1268"/>
      <c r="AK8" s="1268"/>
      <c r="AL8" s="1268"/>
      <c r="AM8" s="1253">
        <v>6</v>
      </c>
    </row>
    <row r="9" ht="18.75" customHeight="1" spans="1:39">
      <c r="A9" s="1280"/>
      <c r="B9" s="42"/>
      <c r="C9" s="42"/>
      <c r="D9" s="63" t="s">
        <v>107</v>
      </c>
      <c r="E9" s="63"/>
      <c r="F9" s="1281" t="s">
        <v>108</v>
      </c>
      <c r="G9" s="1282"/>
      <c r="H9" s="1282"/>
      <c r="I9" s="1282"/>
      <c r="J9" s="1297" t="s">
        <v>109</v>
      </c>
      <c r="K9" s="1297"/>
      <c r="L9" s="1297"/>
      <c r="M9" s="1297"/>
      <c r="AM9" s="35">
        <v>18</v>
      </c>
    </row>
    <row r="10" ht="24" customHeight="1" spans="1:39">
      <c r="A10" s="1280"/>
      <c r="B10" s="85"/>
      <c r="C10" s="1283"/>
      <c r="D10" s="63" t="s">
        <v>89</v>
      </c>
      <c r="E10" s="63" t="s">
        <v>90</v>
      </c>
      <c r="F10" s="63" t="s">
        <v>110</v>
      </c>
      <c r="G10" s="1284" t="s">
        <v>89</v>
      </c>
      <c r="H10" s="1285"/>
      <c r="I10" s="63" t="s">
        <v>90</v>
      </c>
      <c r="J10" s="63" t="s">
        <v>110</v>
      </c>
      <c r="K10" s="1284" t="s">
        <v>89</v>
      </c>
      <c r="L10" s="1285"/>
      <c r="M10" s="63" t="s">
        <v>90</v>
      </c>
      <c r="N10" s="279"/>
      <c r="AM10" s="35">
        <v>23</v>
      </c>
    </row>
    <row r="11" s="35" customFormat="1" hidden="1" customHeight="1" spans="1:39">
      <c r="A11" s="758"/>
      <c r="B11" s="758"/>
      <c r="C11" s="758"/>
      <c r="D11" s="1286" t="s">
        <v>111</v>
      </c>
      <c r="E11" s="1286" t="s">
        <v>112</v>
      </c>
      <c r="F11" s="1286" t="s">
        <v>91</v>
      </c>
      <c r="G11" s="1287" t="s">
        <v>92</v>
      </c>
      <c r="H11" s="1288"/>
      <c r="I11" s="1286" t="s">
        <v>113</v>
      </c>
      <c r="J11" s="1286" t="s">
        <v>93</v>
      </c>
      <c r="K11" s="1298" t="s">
        <v>94</v>
      </c>
      <c r="L11" s="1299"/>
      <c r="M11" s="1286" t="s">
        <v>114</v>
      </c>
      <c r="N11" s="279"/>
      <c r="O11" s="150"/>
      <c r="P11" s="150"/>
      <c r="Q11" s="150"/>
      <c r="R11" s="150"/>
      <c r="S11" s="150"/>
      <c r="T11" s="150"/>
      <c r="U11" s="500"/>
      <c r="V11" s="500"/>
      <c r="W11" s="500"/>
      <c r="X11" s="500"/>
      <c r="Y11" s="44"/>
      <c r="Z11" s="44"/>
      <c r="AA11" s="44"/>
      <c r="AB11" s="44"/>
      <c r="AC11" s="44"/>
      <c r="AD11" s="44"/>
      <c r="AE11" s="44"/>
      <c r="AF11" s="44"/>
      <c r="AG11" s="44"/>
      <c r="AH11" s="44"/>
      <c r="AI11" s="44"/>
      <c r="AJ11" s="44"/>
      <c r="AK11" s="44"/>
      <c r="AL11" s="44"/>
      <c r="AM11" s="35">
        <v>0</v>
      </c>
    </row>
    <row r="12" ht="1.05" customHeight="1" spans="1:39">
      <c r="A12" s="608"/>
      <c r="B12" s="85"/>
      <c r="C12" s="85"/>
      <c r="D12" s="1289"/>
      <c r="E12" s="106"/>
      <c r="F12" s="106"/>
      <c r="G12" s="1290"/>
      <c r="H12" s="1290"/>
      <c r="I12" s="106"/>
      <c r="J12" s="106"/>
      <c r="K12" s="1300"/>
      <c r="L12" s="106"/>
      <c r="M12" s="1301"/>
      <c r="N12" s="279"/>
      <c r="O12" s="150" t="s">
        <v>115</v>
      </c>
      <c r="P12" s="150" t="s">
        <v>116</v>
      </c>
      <c r="Q12" s="150" t="s">
        <v>117</v>
      </c>
      <c r="R12" s="150" t="s">
        <v>118</v>
      </c>
      <c r="AM12" s="35">
        <v>1</v>
      </c>
    </row>
    <row r="13" s="35" customFormat="1" ht="15.75" customHeight="1" spans="1:39">
      <c r="A13"/>
      <c r="B13"/>
      <c r="C13" s="216"/>
      <c r="D13" s="231" t="s">
        <v>111</v>
      </c>
      <c r="E13" s="232"/>
      <c r="F13" s="477" t="s">
        <v>62</v>
      </c>
      <c r="G13" s="1291"/>
      <c r="H13" s="1292">
        <v>1</v>
      </c>
      <c r="I13" s="1302" t="str">
        <f>IF(U13="","",INDEX(TERRITORY_MR_LIST,MATCH(U13,TERRITORY_LIST_ID,0)))</f>
        <v/>
      </c>
      <c r="J13" s="139" t="s">
        <v>19</v>
      </c>
      <c r="K13" s="322"/>
      <c r="L13" s="231" t="s">
        <v>111</v>
      </c>
      <c r="M13" s="272" t="s">
        <v>28</v>
      </c>
      <c r="N13" s="279"/>
      <c r="O13" s="150" t="s">
        <v>119</v>
      </c>
      <c r="P13" s="150">
        <f>$E$13</f>
        <v>0</v>
      </c>
      <c r="Q13" s="150" t="str">
        <f>IF($F$13="нет","без дифференциации",$I$13)</f>
        <v/>
      </c>
      <c r="R13" s="150" t="str">
        <f>IF($J$13="нет","без дифференциации",M13)</f>
        <v>без дифференциации</v>
      </c>
      <c r="S13" s="150"/>
      <c r="T13" s="150"/>
      <c r="U13" s="500"/>
      <c r="V13" s="500"/>
      <c r="W13" s="500"/>
      <c r="X13" s="500"/>
      <c r="Y13" s="44" t="s">
        <v>120</v>
      </c>
      <c r="Z13" s="44">
        <v>1705000</v>
      </c>
      <c r="AA13" s="44"/>
      <c r="AB13" s="44"/>
      <c r="AC13" s="44"/>
      <c r="AD13" s="44"/>
      <c r="AE13" s="44"/>
      <c r="AF13" s="44"/>
      <c r="AG13" s="44"/>
      <c r="AH13" s="44"/>
      <c r="AI13" s="44"/>
      <c r="AJ13" s="44"/>
      <c r="AK13" s="44"/>
      <c r="AL13" s="44"/>
      <c r="AM13" s="35">
        <v>15</v>
      </c>
    </row>
    <row r="14" s="35" customFormat="1" ht="15.75" customHeight="1" spans="1:39">
      <c r="A14"/>
      <c r="B14"/>
      <c r="C14" s="234"/>
      <c r="D14" s="231"/>
      <c r="E14" s="235"/>
      <c r="F14" s="139"/>
      <c r="G14" s="1291"/>
      <c r="H14" s="1292"/>
      <c r="I14" s="1303"/>
      <c r="J14" s="139"/>
      <c r="K14" s="224"/>
      <c r="L14" s="225"/>
      <c r="M14" s="274" t="s">
        <v>121</v>
      </c>
      <c r="N14" s="279"/>
      <c r="O14" s="150"/>
      <c r="P14" s="150"/>
      <c r="Q14" s="150"/>
      <c r="R14" s="150"/>
      <c r="S14" s="150"/>
      <c r="T14" s="150"/>
      <c r="U14" s="500"/>
      <c r="V14" s="500"/>
      <c r="W14" s="500"/>
      <c r="X14" s="500"/>
      <c r="Y14" s="44"/>
      <c r="Z14" s="44"/>
      <c r="AA14" s="44"/>
      <c r="AB14" s="44"/>
      <c r="AC14" s="44"/>
      <c r="AD14" s="44"/>
      <c r="AE14" s="44"/>
      <c r="AF14" s="44"/>
      <c r="AG14" s="44"/>
      <c r="AH14" s="44"/>
      <c r="AI14" s="44"/>
      <c r="AJ14" s="44"/>
      <c r="AK14" s="44"/>
      <c r="AL14" s="44"/>
      <c r="AM14" s="35">
        <v>15</v>
      </c>
    </row>
    <row r="15" s="35" customFormat="1" ht="15.75" customHeight="1" spans="1:39">
      <c r="A15"/>
      <c r="B15"/>
      <c r="C15" s="234"/>
      <c r="D15" s="231"/>
      <c r="E15" s="237"/>
      <c r="F15" s="139"/>
      <c r="G15" s="1293"/>
      <c r="H15" s="1294"/>
      <c r="I15" s="226" t="s">
        <v>122</v>
      </c>
      <c r="J15" s="225"/>
      <c r="K15" s="225"/>
      <c r="L15" s="225"/>
      <c r="M15" s="275"/>
      <c r="N15" s="279"/>
      <c r="O15" s="150"/>
      <c r="P15" s="150"/>
      <c r="Q15" s="150"/>
      <c r="R15" s="150"/>
      <c r="S15" s="150"/>
      <c r="T15" s="150"/>
      <c r="U15" s="500"/>
      <c r="V15" s="500"/>
      <c r="W15" s="500"/>
      <c r="X15" s="500"/>
      <c r="Y15" s="44"/>
      <c r="Z15" s="44"/>
      <c r="AA15" s="44"/>
      <c r="AB15" s="44"/>
      <c r="AC15" s="44"/>
      <c r="AD15" s="44"/>
      <c r="AE15" s="44"/>
      <c r="AF15" s="44"/>
      <c r="AG15" s="44"/>
      <c r="AH15" s="44"/>
      <c r="AI15" s="44"/>
      <c r="AJ15" s="44"/>
      <c r="AK15" s="44"/>
      <c r="AL15" s="44"/>
      <c r="AM15" s="35">
        <v>15</v>
      </c>
    </row>
    <row r="16" ht="15.75" customHeight="1" spans="1:39">
      <c r="A16" s="1295"/>
      <c r="B16" s="39"/>
      <c r="C16" s="519"/>
      <c r="D16" s="224"/>
      <c r="E16" s="775" t="s">
        <v>123</v>
      </c>
      <c r="F16" s="225"/>
      <c r="G16" s="225"/>
      <c r="H16" s="225"/>
      <c r="I16" s="225"/>
      <c r="J16" s="225"/>
      <c r="K16" s="225" t="s">
        <v>28</v>
      </c>
      <c r="L16" s="225"/>
      <c r="M16" s="275"/>
      <c r="N16" s="279"/>
      <c r="AM16" s="35">
        <v>15</v>
      </c>
    </row>
    <row r="17" hidden="1" customHeight="1" spans="1:39">
      <c r="A17" s="35" t="s">
        <v>83</v>
      </c>
      <c r="B17" s="35">
        <v>0</v>
      </c>
      <c r="C17" s="35">
        <v>3</v>
      </c>
      <c r="D17" s="35">
        <v>4</v>
      </c>
      <c r="E17" s="35">
        <v>44</v>
      </c>
      <c r="F17" s="35">
        <v>6</v>
      </c>
      <c r="G17" s="35">
        <v>4</v>
      </c>
      <c r="H17" s="35">
        <v>5</v>
      </c>
      <c r="I17" s="35">
        <v>52</v>
      </c>
      <c r="J17" s="35">
        <v>6</v>
      </c>
      <c r="K17" s="35">
        <v>3</v>
      </c>
      <c r="L17" s="35">
        <v>6</v>
      </c>
      <c r="M17" s="35">
        <v>56</v>
      </c>
      <c r="N17" s="44">
        <v>8</v>
      </c>
      <c r="O17" s="150">
        <v>0</v>
      </c>
      <c r="P17" s="150">
        <v>0</v>
      </c>
      <c r="Q17" s="150">
        <v>0</v>
      </c>
      <c r="R17" s="150">
        <v>0</v>
      </c>
      <c r="S17" s="150">
        <v>0</v>
      </c>
      <c r="T17" s="150">
        <v>0</v>
      </c>
      <c r="U17" s="500">
        <v>0</v>
      </c>
      <c r="V17" s="500">
        <v>0</v>
      </c>
      <c r="W17" s="500">
        <v>0</v>
      </c>
      <c r="X17" s="500">
        <v>0</v>
      </c>
      <c r="Y17" s="44">
        <v>0</v>
      </c>
      <c r="Z17" s="44">
        <v>0</v>
      </c>
      <c r="AA17" s="44">
        <v>0</v>
      </c>
      <c r="AB17" s="44">
        <v>0</v>
      </c>
      <c r="AC17" s="44">
        <v>0</v>
      </c>
      <c r="AD17" s="44">
        <v>0</v>
      </c>
      <c r="AE17" s="44">
        <v>0</v>
      </c>
      <c r="AF17" s="44">
        <v>0</v>
      </c>
      <c r="AG17" s="44">
        <v>0</v>
      </c>
      <c r="AH17" s="44">
        <v>0</v>
      </c>
      <c r="AI17" s="44">
        <v>0</v>
      </c>
      <c r="AJ17" s="44">
        <v>0</v>
      </c>
      <c r="AK17" s="44">
        <v>0</v>
      </c>
      <c r="AL17" s="44">
        <v>8</v>
      </c>
      <c r="AM17" s="35">
        <v>11</v>
      </c>
    </row>
  </sheetData>
  <sheetProtection formatColumns="0" formatRows="0" insertRows="0" deleteColumns="0" deleteRows="0" sort="0" autoFilter="0"/>
  <mergeCells count="19">
    <mergeCell ref="D4:I4"/>
    <mergeCell ref="D5:I5"/>
    <mergeCell ref="A6:F6"/>
    <mergeCell ref="E7:M7"/>
    <mergeCell ref="D9:E9"/>
    <mergeCell ref="F9:I9"/>
    <mergeCell ref="J9:M9"/>
    <mergeCell ref="G10:H10"/>
    <mergeCell ref="K10:L10"/>
    <mergeCell ref="G11:H11"/>
    <mergeCell ref="K11:L11"/>
    <mergeCell ref="A9:A10"/>
    <mergeCell ref="D13:D15"/>
    <mergeCell ref="E13:E15"/>
    <mergeCell ref="F13:F15"/>
    <mergeCell ref="G13:G14"/>
    <mergeCell ref="H13:H14"/>
    <mergeCell ref="I13:I14"/>
    <mergeCell ref="J13:J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E26B0A"/>
  </sheetPr>
  <dimension ref="A1:V40"/>
  <sheetViews>
    <sheetView showGridLines="0" zoomScale="90" zoomScaleNormal="90" workbookViewId="0">
      <pane xSplit="8" ySplit="31" topLeftCell="I32" activePane="bottomRight" state="frozen"/>
      <selection/>
      <selection pane="topRight"/>
      <selection pane="bottomLeft"/>
      <selection pane="bottomRight" activeCell="A1" sqref="A1"/>
    </sheetView>
  </sheetViews>
  <sheetFormatPr defaultColWidth="10.5714285714286" defaultRowHeight="15" customHeight="1"/>
  <cols>
    <col min="1" max="1" width="9.14285714285714" style="572" hidden="1" customWidth="1"/>
    <col min="2" max="2" width="9.14285714285714" style="42" hidden="1" customWidth="1"/>
    <col min="3" max="3" width="4" style="234" customWidth="1"/>
    <col min="4" max="4" width="6" style="42" customWidth="1"/>
    <col min="5" max="5" width="36" style="42" customWidth="1"/>
    <col min="6" max="6" width="9" style="42" customWidth="1"/>
    <col min="7" max="7" width="25.7142857142857" style="42" hidden="1" customWidth="1"/>
    <col min="8" max="8" width="33.7142857142857" style="42" hidden="1" customWidth="1"/>
    <col min="9" max="9" width="25.7142857142857" style="42" customWidth="1"/>
    <col min="10" max="10" width="33" style="42" customWidth="1"/>
    <col min="11" max="11" width="93" style="37" customWidth="1"/>
    <col min="12" max="20" width="10" style="42" customWidth="1"/>
    <col min="21" max="21" width="10" style="749" customWidth="1"/>
    <col min="22" max="22" width="10.5714285714286" style="42" hidden="1"/>
  </cols>
  <sheetData>
    <row r="1" s="37" customFormat="1" ht="22.5" hidden="1" customHeight="1" spans="3:22">
      <c r="C1" s="47"/>
      <c r="G1" s="37">
        <v>4</v>
      </c>
      <c r="I1" s="37">
        <v>4</v>
      </c>
      <c r="U1" s="287"/>
      <c r="V1" s="37" t="s">
        <v>14</v>
      </c>
    </row>
    <row r="2" s="37" customFormat="1" hidden="1" customHeight="1" spans="3:22">
      <c r="C2" s="47"/>
      <c r="U2" s="287"/>
      <c r="V2" s="37">
        <v>0</v>
      </c>
    </row>
    <row r="3" ht="22.5" hidden="1" customHeight="1" spans="1:22">
      <c r="A3" s="42"/>
      <c r="B3" s="39"/>
      <c r="C3" s="230" t="s">
        <v>521</v>
      </c>
      <c r="D3" s="905" t="str">
        <f>B3&amp;".1"</f>
        <v>.1</v>
      </c>
      <c r="E3" s="877" t="s">
        <v>945</v>
      </c>
      <c r="F3" s="126" t="s">
        <v>311</v>
      </c>
      <c r="G3" s="821"/>
      <c r="H3" s="625"/>
      <c r="I3" s="821"/>
      <c r="J3" s="625"/>
      <c r="K3" s="82" t="s">
        <v>946</v>
      </c>
      <c r="V3" s="42">
        <v>0</v>
      </c>
    </row>
    <row r="4" hidden="1" customHeight="1" spans="1:22">
      <c r="A4" s="42"/>
      <c r="B4" s="39"/>
      <c r="C4" s="230"/>
      <c r="D4" s="905" t="str">
        <f>B3&amp;".2"</f>
        <v>.2</v>
      </c>
      <c r="E4" s="877" t="s">
        <v>947</v>
      </c>
      <c r="F4" s="126" t="s">
        <v>311</v>
      </c>
      <c r="G4" s="906" t="s">
        <v>28</v>
      </c>
      <c r="H4" s="625"/>
      <c r="I4" s="906" t="s">
        <v>28</v>
      </c>
      <c r="J4" s="625"/>
      <c r="K4" s="82" t="s">
        <v>948</v>
      </c>
      <c r="V4" s="42">
        <v>0</v>
      </c>
    </row>
    <row r="5" s="37" customFormat="1" hidden="1" customHeight="1" spans="3:22">
      <c r="C5" s="47"/>
      <c r="U5" s="287"/>
      <c r="V5" s="37">
        <v>0</v>
      </c>
    </row>
    <row r="6" ht="22.5" hidden="1" customHeight="1" spans="1:22">
      <c r="A6" s="42"/>
      <c r="B6" s="39"/>
      <c r="C6" s="230" t="s">
        <v>521</v>
      </c>
      <c r="D6" s="905" t="str">
        <f>B6&amp;".1"</f>
        <v>.1</v>
      </c>
      <c r="E6" s="877" t="s">
        <v>949</v>
      </c>
      <c r="F6" s="126" t="s">
        <v>311</v>
      </c>
      <c r="G6" s="821"/>
      <c r="H6" s="625"/>
      <c r="I6" s="821"/>
      <c r="J6" s="625"/>
      <c r="K6" s="82" t="s">
        <v>950</v>
      </c>
      <c r="V6" s="42">
        <v>0</v>
      </c>
    </row>
    <row r="7" hidden="1" customHeight="1" spans="1:22">
      <c r="A7" s="42"/>
      <c r="B7" s="39"/>
      <c r="C7" s="230"/>
      <c r="D7" s="905" t="str">
        <f>B6&amp;".2"</f>
        <v>.2</v>
      </c>
      <c r="E7" s="877" t="s">
        <v>947</v>
      </c>
      <c r="F7" s="126" t="s">
        <v>311</v>
      </c>
      <c r="G7" s="906" t="s">
        <v>28</v>
      </c>
      <c r="H7" s="625"/>
      <c r="I7" s="906" t="s">
        <v>28</v>
      </c>
      <c r="J7" s="625"/>
      <c r="K7" s="82" t="s">
        <v>948</v>
      </c>
      <c r="V7" s="42">
        <v>0</v>
      </c>
    </row>
    <row r="8" s="37" customFormat="1" hidden="1" customHeight="1" spans="3:22">
      <c r="C8" s="47"/>
      <c r="U8" s="287"/>
      <c r="V8" s="37">
        <v>0</v>
      </c>
    </row>
    <row r="9" ht="22.5" hidden="1" customHeight="1" spans="1:22">
      <c r="A9" s="42"/>
      <c r="B9" s="39"/>
      <c r="C9" s="230" t="s">
        <v>521</v>
      </c>
      <c r="D9" s="905" t="str">
        <f>B9&amp;".1"</f>
        <v>.1</v>
      </c>
      <c r="E9" s="877" t="s">
        <v>951</v>
      </c>
      <c r="F9" s="126" t="s">
        <v>311</v>
      </c>
      <c r="G9" s="245" t="s">
        <v>28</v>
      </c>
      <c r="H9" s="625" t="s">
        <v>28</v>
      </c>
      <c r="I9" s="245" t="s">
        <v>28</v>
      </c>
      <c r="J9" s="625" t="s">
        <v>28</v>
      </c>
      <c r="K9" s="82"/>
      <c r="V9" s="42">
        <v>0</v>
      </c>
    </row>
    <row r="10" hidden="1" customHeight="1" spans="1:22">
      <c r="A10" s="42"/>
      <c r="B10" s="39"/>
      <c r="C10" s="230"/>
      <c r="D10" s="905" t="str">
        <f>B9&amp;".2"</f>
        <v>.2</v>
      </c>
      <c r="E10" s="877" t="s">
        <v>952</v>
      </c>
      <c r="F10" s="126" t="s">
        <v>311</v>
      </c>
      <c r="G10" s="254" t="s">
        <v>28</v>
      </c>
      <c r="H10" s="625" t="s">
        <v>28</v>
      </c>
      <c r="I10" s="254" t="s">
        <v>28</v>
      </c>
      <c r="J10" s="625" t="s">
        <v>28</v>
      </c>
      <c r="K10" s="82" t="s">
        <v>953</v>
      </c>
      <c r="V10" s="42">
        <v>0</v>
      </c>
    </row>
    <row r="11" hidden="1" customHeight="1" spans="1:22">
      <c r="A11" s="42"/>
      <c r="B11" s="39"/>
      <c r="C11" s="230"/>
      <c r="D11" s="905" t="str">
        <f>B9&amp;".3"</f>
        <v>.3</v>
      </c>
      <c r="E11" s="877" t="s">
        <v>954</v>
      </c>
      <c r="F11" s="126" t="s">
        <v>311</v>
      </c>
      <c r="G11" s="254" t="s">
        <v>28</v>
      </c>
      <c r="H11" s="625" t="s">
        <v>28</v>
      </c>
      <c r="I11" s="254" t="s">
        <v>28</v>
      </c>
      <c r="J11" s="625" t="s">
        <v>28</v>
      </c>
      <c r="K11" s="82" t="s">
        <v>955</v>
      </c>
      <c r="V11" s="42">
        <v>0</v>
      </c>
    </row>
    <row r="12" s="37" customFormat="1" hidden="1" customHeight="1" spans="3:22">
      <c r="C12" s="47"/>
      <c r="U12" s="287"/>
      <c r="V12" s="37">
        <v>0</v>
      </c>
    </row>
    <row r="13" ht="33.75" hidden="1" customHeight="1" spans="1:22">
      <c r="A13" s="42"/>
      <c r="B13" s="39"/>
      <c r="C13" s="230" t="s">
        <v>521</v>
      </c>
      <c r="D13" s="905" t="str">
        <f>B13&amp;".1"</f>
        <v>.1</v>
      </c>
      <c r="E13" s="877" t="s">
        <v>956</v>
      </c>
      <c r="F13" s="126" t="s">
        <v>311</v>
      </c>
      <c r="G13" s="245" t="s">
        <v>28</v>
      </c>
      <c r="H13" s="625" t="s">
        <v>28</v>
      </c>
      <c r="I13" s="245" t="s">
        <v>28</v>
      </c>
      <c r="J13" s="625" t="s">
        <v>28</v>
      </c>
      <c r="K13" s="82" t="s">
        <v>957</v>
      </c>
      <c r="V13" s="42">
        <v>0</v>
      </c>
    </row>
    <row r="14" hidden="1" customHeight="1" spans="2:22">
      <c r="B14" s="39"/>
      <c r="C14" s="230"/>
      <c r="D14" s="905" t="str">
        <f>B13&amp;".2"</f>
        <v>.2</v>
      </c>
      <c r="E14" s="877" t="s">
        <v>958</v>
      </c>
      <c r="F14" s="126" t="s">
        <v>311</v>
      </c>
      <c r="G14" s="254" t="s">
        <v>28</v>
      </c>
      <c r="H14" s="625" t="s">
        <v>28</v>
      </c>
      <c r="I14" s="254" t="s">
        <v>28</v>
      </c>
      <c r="J14" s="625" t="s">
        <v>28</v>
      </c>
      <c r="K14" s="82" t="s">
        <v>959</v>
      </c>
      <c r="V14" s="42">
        <v>0</v>
      </c>
    </row>
    <row r="15" s="37" customFormat="1" hidden="1" customHeight="1" spans="3:22">
      <c r="C15" s="47"/>
      <c r="U15" s="287"/>
      <c r="V15" s="37">
        <v>0</v>
      </c>
    </row>
    <row r="16" s="37" customFormat="1" hidden="1" customHeight="1" spans="3:22">
      <c r="C16" s="47"/>
      <c r="U16" s="287"/>
      <c r="V16" s="37">
        <v>0</v>
      </c>
    </row>
    <row r="17" s="37" customFormat="1" hidden="1" customHeight="1" spans="3:22">
      <c r="C17" s="47"/>
      <c r="U17" s="287"/>
      <c r="V17" s="37">
        <v>0</v>
      </c>
    </row>
    <row r="18" s="37" customFormat="1" hidden="1" customHeight="1" spans="3:22">
      <c r="C18" s="47"/>
      <c r="U18" s="287"/>
      <c r="V18" s="37">
        <v>0</v>
      </c>
    </row>
    <row r="19" s="37" customFormat="1" hidden="1" customHeight="1" spans="3:22">
      <c r="C19" s="47"/>
      <c r="U19" s="287"/>
      <c r="V19" s="37">
        <v>0</v>
      </c>
    </row>
    <row r="20" s="37" customFormat="1" hidden="1" customHeight="1" spans="3:22">
      <c r="C20" s="47"/>
      <c r="U20" s="287"/>
      <c r="V20" s="37">
        <v>0</v>
      </c>
    </row>
    <row r="21" ht="15.75" customHeight="1" spans="22:22">
      <c r="V21" s="42">
        <v>15</v>
      </c>
    </row>
    <row r="22" ht="23.25" customHeight="1" spans="4:22">
      <c r="D22" s="75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750"/>
      <c r="F22" s="750"/>
      <c r="G22" s="750"/>
      <c r="H22" s="750"/>
      <c r="I22" s="750"/>
      <c r="J22" s="41"/>
      <c r="V22" s="42">
        <v>22</v>
      </c>
    </row>
    <row r="23" ht="15.75" customHeight="1" spans="4:22">
      <c r="D23" s="657" t="str">
        <f>IF(org=0,"Не определено",org)</f>
        <v>АО "ОЭЗ ППТ "Алабуга"</v>
      </c>
      <c r="E23" s="657"/>
      <c r="F23" s="657"/>
      <c r="G23" s="657"/>
      <c r="H23" s="657"/>
      <c r="I23" s="657"/>
      <c r="J23" s="41"/>
      <c r="V23" s="42">
        <v>15</v>
      </c>
    </row>
    <row r="24" ht="15.75" customHeight="1" spans="7:22">
      <c r="G24" s="37">
        <v>22</v>
      </c>
      <c r="H24" s="574"/>
      <c r="I24" s="37">
        <v>22</v>
      </c>
      <c r="J24" s="574"/>
      <c r="V24" s="42">
        <v>15</v>
      </c>
    </row>
    <row r="25" s="42" customFormat="1" ht="1.05" customHeight="1" spans="1:22">
      <c r="A25" s="572"/>
      <c r="C25" s="234"/>
      <c r="G25" s="37"/>
      <c r="H25" s="574"/>
      <c r="I25" s="37" t="s">
        <v>119</v>
      </c>
      <c r="J25" s="574"/>
      <c r="K25" s="37"/>
      <c r="U25" s="749"/>
      <c r="V25" s="42">
        <v>1</v>
      </c>
    </row>
    <row r="26" ht="15.75" customHeight="1" spans="4:22">
      <c r="D26" s="751"/>
      <c r="E26" s="752" t="s">
        <v>107</v>
      </c>
      <c r="F26" s="753"/>
      <c r="G26" s="754" t="str">
        <f>IF(G25="","",INDEX(DIFFERENTIATION_UNMERGE_VD,MATCH(G25,DIFFERENTIATION_ID_DIFF,0)))</f>
        <v/>
      </c>
      <c r="H26" s="755"/>
      <c r="I26" s="754">
        <f>IF(I25="","",INDEX(DIFFERENTIATION_UNMERGE_VD,MATCH(I25,DIFFERENTIATION_ID_DIFF,0)))</f>
        <v>0</v>
      </c>
      <c r="J26" s="755"/>
      <c r="K26" s="70" t="s">
        <v>306</v>
      </c>
      <c r="V26" s="42">
        <v>15</v>
      </c>
    </row>
    <row r="27" s="42" customFormat="1" ht="15.75" customHeight="1" spans="1:22">
      <c r="A27" s="572"/>
      <c r="C27" s="234"/>
      <c r="D27" s="751"/>
      <c r="E27" s="752" t="s">
        <v>574</v>
      </c>
      <c r="F27" s="753"/>
      <c r="G27" s="754" t="str">
        <f>IF(G25="","",INDEX(DIFFERENTIATION_UNMERGE_AREA,MATCH(G25,DIFFERENTIATION_ID_DIFF,0)))</f>
        <v/>
      </c>
      <c r="H27" s="755"/>
      <c r="I27" s="754" t="str">
        <f>IF(I25="","",INDEX(DIFFERENTIATION_UNMERGE_AREA,MATCH(I25,DIFFERENTIATION_ID_DIFF,0)))</f>
        <v/>
      </c>
      <c r="J27" s="755"/>
      <c r="K27" s="895"/>
      <c r="U27" s="749"/>
      <c r="V27" s="42">
        <v>15</v>
      </c>
    </row>
    <row r="28" s="42" customFormat="1" ht="15.75" customHeight="1" spans="1:22">
      <c r="A28" s="572"/>
      <c r="C28" s="234"/>
      <c r="D28" s="751"/>
      <c r="E28" s="752" t="s">
        <v>575</v>
      </c>
      <c r="F28" s="753"/>
      <c r="G28" s="754" t="str">
        <f>IF(G25="","",INDEX(DIFFERENTIATION_UNMERGE_SYSTEM,MATCH(G25,DIFFERENTIATION_ID_DIFF,0)))</f>
        <v/>
      </c>
      <c r="H28" s="755"/>
      <c r="I28" s="754" t="str">
        <f>IF(I25="","",INDEX(DIFFERENTIATION_UNMERGE_SYSTEM,MATCH(I25,DIFFERENTIATION_ID_DIFF,0)))</f>
        <v>без дифференциации</v>
      </c>
      <c r="J28" s="755"/>
      <c r="K28" s="895"/>
      <c r="U28" s="749"/>
      <c r="V28" s="42">
        <v>15</v>
      </c>
    </row>
    <row r="29" s="42" customFormat="1" ht="15.75" customHeight="1" spans="1:22">
      <c r="A29" s="572"/>
      <c r="C29" s="234"/>
      <c r="D29" s="756" t="s">
        <v>305</v>
      </c>
      <c r="E29" s="757"/>
      <c r="F29" s="757"/>
      <c r="G29" s="752"/>
      <c r="H29" s="752"/>
      <c r="I29" s="752"/>
      <c r="J29" s="753"/>
      <c r="K29" s="895"/>
      <c r="U29" s="749"/>
      <c r="V29" s="42">
        <v>15</v>
      </c>
    </row>
    <row r="30" ht="35.7" customHeight="1" spans="4:22">
      <c r="D30" s="63" t="s">
        <v>89</v>
      </c>
      <c r="E30" s="63" t="s">
        <v>307</v>
      </c>
      <c r="F30" s="63" t="s">
        <v>576</v>
      </c>
      <c r="G30" s="125" t="s">
        <v>308</v>
      </c>
      <c r="H30" s="63" t="s">
        <v>395</v>
      </c>
      <c r="I30" s="125" t="s">
        <v>308</v>
      </c>
      <c r="J30" s="63" t="s">
        <v>395</v>
      </c>
      <c r="K30" s="897"/>
      <c r="V30" s="42">
        <v>34</v>
      </c>
    </row>
    <row r="31" hidden="1" customHeight="1" spans="4:22">
      <c r="D31" s="758"/>
      <c r="E31" s="758"/>
      <c r="F31" s="758"/>
      <c r="G31" s="234"/>
      <c r="H31" s="234"/>
      <c r="I31" s="234"/>
      <c r="J31" s="234"/>
      <c r="K31" s="82"/>
      <c r="V31" s="42">
        <v>0</v>
      </c>
    </row>
    <row r="32" ht="24" customHeight="1" spans="1:22">
      <c r="A32" s="42"/>
      <c r="B32" s="42" t="s">
        <v>960</v>
      </c>
      <c r="C32" s="216"/>
      <c r="D32" s="907">
        <v>1</v>
      </c>
      <c r="E32" s="876" t="s">
        <v>961</v>
      </c>
      <c r="F32" s="126" t="s">
        <v>311</v>
      </c>
      <c r="G32" s="126" t="s">
        <v>311</v>
      </c>
      <c r="H32" s="126" t="s">
        <v>311</v>
      </c>
      <c r="I32" s="126" t="s">
        <v>311</v>
      </c>
      <c r="J32" s="126" t="s">
        <v>311</v>
      </c>
      <c r="K32" s="82"/>
      <c r="V32" s="42">
        <v>23</v>
      </c>
    </row>
    <row r="33" ht="11.55" customHeight="1" spans="1:22">
      <c r="A33" s="42"/>
      <c r="C33" s="42"/>
      <c r="D33" s="400"/>
      <c r="E33" s="226" t="s">
        <v>596</v>
      </c>
      <c r="F33" s="401"/>
      <c r="G33" s="401"/>
      <c r="H33" s="401"/>
      <c r="I33" s="401"/>
      <c r="J33" s="401"/>
      <c r="K33" s="909"/>
      <c r="U33" s="42"/>
      <c r="V33" s="42">
        <v>11</v>
      </c>
    </row>
    <row r="34" ht="24" customHeight="1" spans="1:22">
      <c r="A34" s="42"/>
      <c r="B34" s="41" t="s">
        <v>646</v>
      </c>
      <c r="C34" s="216"/>
      <c r="D34" s="907">
        <v>2</v>
      </c>
      <c r="E34" s="876" t="s">
        <v>962</v>
      </c>
      <c r="F34" s="126" t="s">
        <v>311</v>
      </c>
      <c r="G34" s="126" t="s">
        <v>311</v>
      </c>
      <c r="H34" s="126" t="s">
        <v>311</v>
      </c>
      <c r="I34" s="126"/>
      <c r="J34" s="126"/>
      <c r="K34" s="82"/>
      <c r="V34" s="42">
        <v>23</v>
      </c>
    </row>
    <row r="35" ht="11.55" customHeight="1" spans="1:22">
      <c r="A35" s="42"/>
      <c r="C35" s="42"/>
      <c r="D35" s="400"/>
      <c r="E35" s="226" t="s">
        <v>963</v>
      </c>
      <c r="F35" s="401"/>
      <c r="G35" s="908"/>
      <c r="H35" s="401"/>
      <c r="I35" s="908"/>
      <c r="J35" s="401"/>
      <c r="K35" s="909"/>
      <c r="U35" s="42"/>
      <c r="V35" s="42">
        <v>11</v>
      </c>
    </row>
    <row r="36" ht="71.25" customHeight="1" spans="1:22">
      <c r="A36" s="42"/>
      <c r="B36" s="42" t="s">
        <v>964</v>
      </c>
      <c r="C36" s="216"/>
      <c r="D36" s="907">
        <v>3</v>
      </c>
      <c r="E36" s="876" t="s">
        <v>965</v>
      </c>
      <c r="F36" s="127" t="s">
        <v>311</v>
      </c>
      <c r="G36" s="139" t="s">
        <v>966</v>
      </c>
      <c r="H36" s="126" t="s">
        <v>311</v>
      </c>
      <c r="I36" s="139" t="s">
        <v>966</v>
      </c>
      <c r="J36" s="126" t="s">
        <v>311</v>
      </c>
      <c r="K36" s="82" t="s">
        <v>967</v>
      </c>
      <c r="V36" s="42">
        <v>68</v>
      </c>
    </row>
    <row r="37" ht="11.55" customHeight="1" spans="1:22">
      <c r="A37" s="42"/>
      <c r="C37" s="42"/>
      <c r="D37" s="400"/>
      <c r="E37" s="226" t="s">
        <v>968</v>
      </c>
      <c r="F37" s="401"/>
      <c r="G37" s="908"/>
      <c r="H37" s="908"/>
      <c r="I37" s="908"/>
      <c r="J37" s="908"/>
      <c r="K37" s="909"/>
      <c r="U37" s="42"/>
      <c r="V37" s="42">
        <v>11</v>
      </c>
    </row>
    <row r="38" ht="71.25" customHeight="1" spans="1:22">
      <c r="A38" s="42"/>
      <c r="B38" s="42" t="s">
        <v>969</v>
      </c>
      <c r="C38" s="216"/>
      <c r="D38" s="907">
        <v>4</v>
      </c>
      <c r="E38" s="876" t="s">
        <v>970</v>
      </c>
      <c r="F38" s="127" t="s">
        <v>311</v>
      </c>
      <c r="G38" s="139" t="s">
        <v>966</v>
      </c>
      <c r="H38" s="63" t="s">
        <v>311</v>
      </c>
      <c r="I38" s="139" t="s">
        <v>966</v>
      </c>
      <c r="J38" s="63" t="s">
        <v>311</v>
      </c>
      <c r="K38" s="764" t="s">
        <v>971</v>
      </c>
      <c r="V38" s="42">
        <v>68</v>
      </c>
    </row>
    <row r="39" ht="11.55" customHeight="1" spans="1:22">
      <c r="A39" s="42"/>
      <c r="C39" s="42"/>
      <c r="D39" s="400"/>
      <c r="E39" s="226" t="s">
        <v>972</v>
      </c>
      <c r="F39" s="401"/>
      <c r="G39" s="401"/>
      <c r="H39" s="903"/>
      <c r="I39" s="401"/>
      <c r="J39" s="903"/>
      <c r="K39" s="909"/>
      <c r="U39" s="42"/>
      <c r="V39" s="42">
        <v>11</v>
      </c>
    </row>
    <row r="40" ht="22.5" hidden="1" customHeight="1" spans="1:22">
      <c r="A40" s="572" t="s">
        <v>83</v>
      </c>
      <c r="B40" s="42">
        <v>0</v>
      </c>
      <c r="C40" s="234">
        <v>4</v>
      </c>
      <c r="D40" s="42">
        <v>6</v>
      </c>
      <c r="E40" s="42">
        <v>36</v>
      </c>
      <c r="F40" s="42">
        <v>9</v>
      </c>
      <c r="G40" s="42">
        <v>0</v>
      </c>
      <c r="H40" s="42">
        <v>0</v>
      </c>
      <c r="I40" s="42">
        <v>25</v>
      </c>
      <c r="J40" s="42">
        <v>33</v>
      </c>
      <c r="K40" s="37">
        <v>93</v>
      </c>
      <c r="L40" s="42">
        <v>10</v>
      </c>
      <c r="M40" s="42">
        <v>10</v>
      </c>
      <c r="N40" s="42">
        <v>10</v>
      </c>
      <c r="O40" s="42">
        <v>10</v>
      </c>
      <c r="P40" s="42">
        <v>10</v>
      </c>
      <c r="Q40" s="42">
        <v>10</v>
      </c>
      <c r="R40" s="42">
        <v>10</v>
      </c>
      <c r="S40" s="42">
        <v>10</v>
      </c>
      <c r="T40" s="42">
        <v>10</v>
      </c>
      <c r="U40" s="749">
        <v>10</v>
      </c>
      <c r="V40" s="42">
        <v>23</v>
      </c>
    </row>
  </sheetData>
  <sheetProtection formatColumns="0" formatRows="0" insertRows="0" deleteColumns="0" deleteRows="0" sort="0" autoFilter="0"/>
  <mergeCells count="21">
    <mergeCell ref="D22:I22"/>
    <mergeCell ref="D23:I23"/>
    <mergeCell ref="E26:F26"/>
    <mergeCell ref="G26:H26"/>
    <mergeCell ref="I26:J26"/>
    <mergeCell ref="E27:F27"/>
    <mergeCell ref="G27:H27"/>
    <mergeCell ref="I27:J27"/>
    <mergeCell ref="E28:F28"/>
    <mergeCell ref="G28:H28"/>
    <mergeCell ref="I28:J28"/>
    <mergeCell ref="D29:F29"/>
    <mergeCell ref="B3:B4"/>
    <mergeCell ref="B6:B7"/>
    <mergeCell ref="B9:B11"/>
    <mergeCell ref="B13:B14"/>
    <mergeCell ref="C3:C4"/>
    <mergeCell ref="C6:C7"/>
    <mergeCell ref="C9:C11"/>
    <mergeCell ref="C13:C14"/>
    <mergeCell ref="K26:K30"/>
  </mergeCells>
  <dataValidations count="5">
    <dataValidation type="textLength" operator="lessThanOrEqual" allowBlank="1" showInputMessage="1" showErrorMessage="1" errorTitle="Ошибка" error="Допускается ввод не более 900 символов!" sqref="G3 I3 G6 I6 G9 I9 G13 I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4 I4 G7 I7 G14 I14 G10:G11 I10:I11"/>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allowBlank="1" showInputMessage="1" showErrorMessage="1" prompt="Для выбора выполните двойной щелчок левой клавиши мыши по ячейке." sqref="G36 I36 G38 I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H6:H7 H9:H11 H13:H14 J3:J4 J6:J7 J9:J11 J13:J14">
      <formula1>900</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AE16"/>
  <sheetViews>
    <sheetView showGridLines="0" zoomScale="85" zoomScaleNormal="85" workbookViewId="0">
      <pane xSplit="7" ySplit="10" topLeftCell="H11" activePane="bottomRight" state="frozen"/>
      <selection/>
      <selection pane="topRight"/>
      <selection pane="bottomLeft"/>
      <selection pane="bottomRight" activeCell="A1" sqref="A1"/>
    </sheetView>
  </sheetViews>
  <sheetFormatPr defaultColWidth="9.14285714285714" defaultRowHeight="10.5" customHeight="1"/>
  <cols>
    <col min="1" max="3" width="6.71428571428571" style="296" hidden="1" customWidth="1"/>
    <col min="4" max="4" width="6.71428571428571" style="37" hidden="1" customWidth="1"/>
    <col min="5" max="5" width="3" style="42" customWidth="1"/>
    <col min="6" max="6" width="6" style="42" customWidth="1"/>
    <col min="7" max="7" width="37" style="42" customWidth="1"/>
    <col min="8" max="8" width="16" style="42" customWidth="1"/>
    <col min="9" max="10" width="19" style="42" customWidth="1"/>
    <col min="11" max="11" width="24" style="42" customWidth="1"/>
    <col min="12" max="13" width="25" style="42" customWidth="1"/>
    <col min="14" max="16" width="17" style="42" customWidth="1"/>
    <col min="17" max="24" width="19" style="42" customWidth="1"/>
    <col min="25" max="25" width="7" style="42" customWidth="1"/>
    <col min="26" max="26" width="3" style="42" customWidth="1"/>
    <col min="27" max="27" width="6" style="42" customWidth="1"/>
    <col min="28" max="28" width="34" style="42" customWidth="1"/>
    <col min="29" max="30" width="8" style="42" customWidth="1"/>
    <col min="31" max="31" width="9.14285714285714" style="42" hidden="1"/>
  </cols>
  <sheetData>
    <row r="1" s="37" customFormat="1" hidden="1" customHeight="1" spans="1:31">
      <c r="A1" s="296"/>
      <c r="B1" s="296"/>
      <c r="C1" s="296"/>
      <c r="AE1" s="37" t="s">
        <v>14</v>
      </c>
    </row>
    <row r="2" hidden="1" customHeight="1" spans="31:31">
      <c r="AE2" s="42">
        <v>0</v>
      </c>
    </row>
    <row r="3" s="572" customFormat="1" hidden="1" customHeight="1" spans="1:31">
      <c r="A3" s="296"/>
      <c r="B3" s="296"/>
      <c r="C3" s="296"/>
      <c r="D3" s="37"/>
      <c r="G3" s="572" t="s">
        <v>973</v>
      </c>
      <c r="AE3" s="572">
        <v>0</v>
      </c>
    </row>
    <row r="4" ht="3" customHeight="1" spans="31:31">
      <c r="AE4" s="42">
        <v>3</v>
      </c>
    </row>
    <row r="5" ht="27.3" customHeight="1" spans="6:31">
      <c r="F5" s="750" t="str">
        <f>IP_NAME_FORM</f>
        <v>Форма 7. Информация об инвестиционных программах организации холодного водоснабжения и отчетах об их исполнении</v>
      </c>
      <c r="G5" s="750"/>
      <c r="H5" s="750"/>
      <c r="I5" s="750"/>
      <c r="J5" s="750"/>
      <c r="K5" s="750"/>
      <c r="M5" s="500"/>
      <c r="AE5" s="42">
        <v>26</v>
      </c>
    </row>
    <row r="6" s="42" customFormat="1" ht="16.8" customHeight="1" spans="1:31">
      <c r="A6" s="296"/>
      <c r="B6" s="296"/>
      <c r="C6" s="296"/>
      <c r="D6" s="37"/>
      <c r="F6" s="657" t="str">
        <f>IF(org=0,"Не определено",org)</f>
        <v>АО "ОЭЗ ППТ "Алабуга"</v>
      </c>
      <c r="G6" s="657"/>
      <c r="H6" s="657"/>
      <c r="I6" s="657"/>
      <c r="J6" s="657"/>
      <c r="K6" s="657"/>
      <c r="M6" s="500"/>
      <c r="AE6" s="42">
        <v>16</v>
      </c>
    </row>
    <row r="7" customHeight="1" spans="31:31">
      <c r="AE7" s="42">
        <v>10</v>
      </c>
    </row>
    <row r="8" customHeight="1" spans="6:31">
      <c r="F8" s="125" t="s">
        <v>305</v>
      </c>
      <c r="G8" s="127"/>
      <c r="H8" s="127"/>
      <c r="I8" s="127"/>
      <c r="J8" s="127"/>
      <c r="K8" s="127"/>
      <c r="L8" s="127"/>
      <c r="M8" s="127"/>
      <c r="N8" s="127"/>
      <c r="O8" s="127"/>
      <c r="P8" s="127"/>
      <c r="Q8" s="127"/>
      <c r="R8" s="127"/>
      <c r="S8" s="127"/>
      <c r="T8" s="127"/>
      <c r="U8" s="127"/>
      <c r="V8" s="127"/>
      <c r="W8" s="127"/>
      <c r="X8" s="127"/>
      <c r="Y8" s="127"/>
      <c r="Z8" s="127"/>
      <c r="AA8" s="127"/>
      <c r="AB8" s="126"/>
      <c r="AE8" s="42">
        <v>10</v>
      </c>
    </row>
    <row r="9" ht="43.05" customHeight="1" spans="1:31">
      <c r="A9" s="888"/>
      <c r="B9" s="888"/>
      <c r="C9" s="888"/>
      <c r="F9" s="63" t="s">
        <v>89</v>
      </c>
      <c r="G9" s="63" t="s">
        <v>973</v>
      </c>
      <c r="H9" s="70" t="s">
        <v>974</v>
      </c>
      <c r="I9" s="63" t="s">
        <v>975</v>
      </c>
      <c r="J9" s="63" t="s">
        <v>976</v>
      </c>
      <c r="K9" s="63" t="s">
        <v>977</v>
      </c>
      <c r="L9" s="63" t="s">
        <v>978</v>
      </c>
      <c r="M9" s="63" t="s">
        <v>979</v>
      </c>
      <c r="N9" s="65" t="s">
        <v>980</v>
      </c>
      <c r="O9" s="65"/>
      <c r="P9" s="65"/>
      <c r="Q9" s="67" t="s">
        <v>981</v>
      </c>
      <c r="R9" s="68"/>
      <c r="S9" s="68"/>
      <c r="T9" s="122"/>
      <c r="U9" s="67" t="s">
        <v>982</v>
      </c>
      <c r="V9" s="68"/>
      <c r="W9" s="68"/>
      <c r="X9" s="122"/>
      <c r="Y9" s="125" t="s">
        <v>983</v>
      </c>
      <c r="Z9" s="127"/>
      <c r="AA9" s="127"/>
      <c r="AB9" s="126"/>
      <c r="AE9" s="42">
        <v>41</v>
      </c>
    </row>
    <row r="10" ht="43.05" customHeight="1" spans="1:31">
      <c r="A10" s="888"/>
      <c r="B10" s="888"/>
      <c r="C10" s="888"/>
      <c r="F10" s="70"/>
      <c r="G10" s="70"/>
      <c r="H10" s="72"/>
      <c r="I10" s="70"/>
      <c r="J10" s="70"/>
      <c r="K10" s="70"/>
      <c r="L10" s="70"/>
      <c r="M10" s="70"/>
      <c r="N10" s="901" t="s">
        <v>984</v>
      </c>
      <c r="O10" s="901" t="s">
        <v>985</v>
      </c>
      <c r="P10" s="123" t="s">
        <v>986</v>
      </c>
      <c r="Q10" s="901" t="s">
        <v>90</v>
      </c>
      <c r="R10" s="901" t="s">
        <v>987</v>
      </c>
      <c r="S10" s="901" t="s">
        <v>988</v>
      </c>
      <c r="T10" s="902" t="s">
        <v>989</v>
      </c>
      <c r="U10" s="901" t="s">
        <v>90</v>
      </c>
      <c r="V10" s="901" t="s">
        <v>990</v>
      </c>
      <c r="W10" s="901" t="s">
        <v>988</v>
      </c>
      <c r="X10" s="902" t="s">
        <v>989</v>
      </c>
      <c r="Y10" s="66" t="s">
        <v>991</v>
      </c>
      <c r="Z10" s="125" t="s">
        <v>89</v>
      </c>
      <c r="AA10" s="126"/>
      <c r="AB10" s="63" t="s">
        <v>992</v>
      </c>
      <c r="AE10" s="42">
        <v>41</v>
      </c>
    </row>
    <row r="11" s="43" customFormat="1" ht="5.25" hidden="1" customHeight="1" spans="1:31">
      <c r="A11" s="306"/>
      <c r="B11" s="306"/>
      <c r="C11" s="306"/>
      <c r="E11" s="92"/>
      <c r="F11" s="493" t="s">
        <v>381</v>
      </c>
      <c r="G11" s="810"/>
      <c r="H11" s="259"/>
      <c r="I11" s="259"/>
      <c r="J11" s="259"/>
      <c r="K11" s="103"/>
      <c r="L11" s="103"/>
      <c r="M11" s="103"/>
      <c r="N11" s="259"/>
      <c r="O11" s="259"/>
      <c r="P11" s="63"/>
      <c r="Q11" s="392"/>
      <c r="R11" s="392"/>
      <c r="S11" s="392"/>
      <c r="T11" s="259"/>
      <c r="U11" s="392"/>
      <c r="V11" s="392"/>
      <c r="W11" s="392"/>
      <c r="X11" s="259"/>
      <c r="Y11" s="231"/>
      <c r="Z11" s="231"/>
      <c r="AA11" s="231"/>
      <c r="AB11" s="231"/>
      <c r="AD11" s="43" t="s">
        <v>993</v>
      </c>
      <c r="AE11" s="43">
        <v>0</v>
      </c>
    </row>
    <row r="12" s="43" customFormat="1" ht="5.25" hidden="1" customHeight="1" spans="1:31">
      <c r="A12" s="306"/>
      <c r="B12" s="306"/>
      <c r="C12" s="306"/>
      <c r="F12" s="493"/>
      <c r="G12" s="810"/>
      <c r="H12" s="259"/>
      <c r="I12" s="259"/>
      <c r="J12" s="259"/>
      <c r="K12" s="103"/>
      <c r="L12" s="103"/>
      <c r="M12" s="103"/>
      <c r="N12" s="259"/>
      <c r="O12" s="259"/>
      <c r="P12" s="63"/>
      <c r="Q12" s="392"/>
      <c r="R12" s="392"/>
      <c r="S12" s="392"/>
      <c r="T12" s="259"/>
      <c r="U12" s="392"/>
      <c r="V12" s="392"/>
      <c r="W12" s="392"/>
      <c r="X12" s="259"/>
      <c r="Y12" s="833"/>
      <c r="Z12" s="833"/>
      <c r="AA12" s="833"/>
      <c r="AB12" s="833"/>
      <c r="AE12" s="43">
        <v>0</v>
      </c>
    </row>
    <row r="13" customHeight="1" spans="6:31">
      <c r="F13" s="900"/>
      <c r="G13" s="226" t="s">
        <v>994</v>
      </c>
      <c r="H13" s="226"/>
      <c r="I13" s="401"/>
      <c r="J13" s="401"/>
      <c r="K13" s="401"/>
      <c r="L13" s="401"/>
      <c r="M13" s="401"/>
      <c r="N13" s="401"/>
      <c r="O13" s="401"/>
      <c r="P13" s="401"/>
      <c r="Q13" s="401"/>
      <c r="R13" s="401"/>
      <c r="S13" s="401"/>
      <c r="T13" s="401"/>
      <c r="U13" s="401"/>
      <c r="V13" s="401"/>
      <c r="W13" s="401"/>
      <c r="X13" s="401"/>
      <c r="Y13" s="401"/>
      <c r="Z13" s="903"/>
      <c r="AA13" s="903"/>
      <c r="AB13" s="904"/>
      <c r="AE13" s="42">
        <v>10</v>
      </c>
    </row>
    <row r="14" customHeight="1" spans="31:31">
      <c r="AE14" s="42">
        <v>10</v>
      </c>
    </row>
    <row r="15" s="43" customFormat="1" customHeight="1" spans="1:31">
      <c r="A15" s="306"/>
      <c r="B15" s="306"/>
      <c r="C15" s="306"/>
      <c r="H15" s="43">
        <f>IFERROR(MATCH("нет",IP_MAIN_DIFFERENTIATION_EVENTS_FLAG,0),0)</f>
        <v>0</v>
      </c>
      <c r="AE15" s="43">
        <v>10</v>
      </c>
    </row>
    <row r="16" hidden="1" customHeight="1" spans="1:31">
      <c r="A16" s="296" t="s">
        <v>83</v>
      </c>
      <c r="B16" s="296">
        <v>0</v>
      </c>
      <c r="C16" s="296">
        <v>0</v>
      </c>
      <c r="D16" s="37">
        <v>0</v>
      </c>
      <c r="E16" s="42">
        <v>3</v>
      </c>
      <c r="F16" s="42">
        <v>6</v>
      </c>
      <c r="G16" s="42">
        <v>37</v>
      </c>
      <c r="H16" s="42">
        <v>16</v>
      </c>
      <c r="I16" s="42">
        <v>19</v>
      </c>
      <c r="J16" s="42">
        <v>19</v>
      </c>
      <c r="K16" s="42">
        <v>24</v>
      </c>
      <c r="L16" s="42">
        <v>25</v>
      </c>
      <c r="M16" s="42">
        <v>25</v>
      </c>
      <c r="N16" s="42">
        <v>17</v>
      </c>
      <c r="O16" s="42">
        <v>17</v>
      </c>
      <c r="P16" s="42">
        <v>17</v>
      </c>
      <c r="Q16" s="42">
        <v>19</v>
      </c>
      <c r="R16" s="42">
        <v>19</v>
      </c>
      <c r="S16" s="42">
        <v>19</v>
      </c>
      <c r="T16" s="42">
        <v>19</v>
      </c>
      <c r="U16" s="42">
        <v>19</v>
      </c>
      <c r="V16" s="42">
        <v>19</v>
      </c>
      <c r="W16" s="42">
        <v>19</v>
      </c>
      <c r="X16" s="42">
        <v>19</v>
      </c>
      <c r="Y16" s="42">
        <v>7</v>
      </c>
      <c r="Z16" s="42">
        <v>3</v>
      </c>
      <c r="AA16" s="42">
        <v>6</v>
      </c>
      <c r="AB16" s="42">
        <v>34</v>
      </c>
      <c r="AC16" s="42">
        <v>8</v>
      </c>
      <c r="AD16" s="42">
        <v>8</v>
      </c>
      <c r="AE16" s="42">
        <v>10</v>
      </c>
    </row>
  </sheetData>
  <sheetProtection formatColumns="0" formatRows="0" insertRows="0" deleteColumns="0" deleteRows="0" sort="0" autoFilter="0"/>
  <mergeCells count="39">
    <mergeCell ref="F5:K5"/>
    <mergeCell ref="F6:K6"/>
    <mergeCell ref="F8:AB8"/>
    <mergeCell ref="N9:P9"/>
    <mergeCell ref="Q9:T9"/>
    <mergeCell ref="U9:X9"/>
    <mergeCell ref="Y9:AB9"/>
    <mergeCell ref="Z10:AA10"/>
    <mergeCell ref="F9:F10"/>
    <mergeCell ref="F11:F12"/>
    <mergeCell ref="G9:G10"/>
    <mergeCell ref="G11:G12"/>
    <mergeCell ref="H9:H10"/>
    <mergeCell ref="H11:H12"/>
    <mergeCell ref="I9:I10"/>
    <mergeCell ref="I11:I12"/>
    <mergeCell ref="J9:J10"/>
    <mergeCell ref="J11:J12"/>
    <mergeCell ref="K9:K10"/>
    <mergeCell ref="K11:K12"/>
    <mergeCell ref="L9:L10"/>
    <mergeCell ref="L11:L12"/>
    <mergeCell ref="M9:M10"/>
    <mergeCell ref="M11:M12"/>
    <mergeCell ref="N11:N12"/>
    <mergeCell ref="O11:O12"/>
    <mergeCell ref="P11:P12"/>
    <mergeCell ref="Q11:Q12"/>
    <mergeCell ref="R11:R12"/>
    <mergeCell ref="S11:S12"/>
    <mergeCell ref="T11:T12"/>
    <mergeCell ref="U11:U12"/>
    <mergeCell ref="V11:V12"/>
    <mergeCell ref="W11:W12"/>
    <mergeCell ref="X11:X12"/>
    <mergeCell ref="Y11:Y12"/>
    <mergeCell ref="Z11:Z12"/>
    <mergeCell ref="AA11:AA12"/>
    <mergeCell ref="AB11:AB12"/>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BG20"/>
  <sheetViews>
    <sheetView showGridLines="0" zoomScale="90" zoomScaleNormal="90" workbookViewId="0">
      <pane xSplit="8" ySplit="12" topLeftCell="I13" activePane="bottomRight" state="frozen"/>
      <selection/>
      <selection pane="topRight"/>
      <selection pane="bottomLeft"/>
      <selection pane="bottomRight" activeCell="A1" sqref="A1"/>
    </sheetView>
  </sheetViews>
  <sheetFormatPr defaultColWidth="9.14285714285714" defaultRowHeight="10.5" customHeight="1"/>
  <cols>
    <col min="1" max="3" width="4.14285714285714" style="296" hidden="1" customWidth="1"/>
    <col min="4" max="4" width="4.14285714285714" style="37" hidden="1" customWidth="1"/>
    <col min="5" max="5" width="3" style="42" customWidth="1"/>
    <col min="6" max="6" width="14" style="42" customWidth="1"/>
    <col min="7" max="7" width="3" style="42" customWidth="1"/>
    <col min="8" max="8" width="7" style="42" customWidth="1"/>
    <col min="9" max="10" width="16" style="42" customWidth="1"/>
    <col min="11" max="11" width="25" style="42" customWidth="1"/>
    <col min="12" max="12" width="7" style="42" customWidth="1"/>
    <col min="13" max="13" width="15" style="42" customWidth="1"/>
    <col min="14" max="14" width="3" style="42" customWidth="1"/>
    <col min="15" max="15" width="4" style="42" customWidth="1"/>
    <col min="16" max="16" width="8" style="42" customWidth="1"/>
    <col min="17" max="17" width="21" style="42" customWidth="1"/>
    <col min="18" max="18" width="14" style="42" customWidth="1"/>
    <col min="19" max="20" width="17" style="42" customWidth="1"/>
    <col min="21" max="21" width="9" style="42" customWidth="1"/>
    <col min="22" max="22" width="12" style="42" customWidth="1"/>
    <col min="23" max="23" width="9" style="42" customWidth="1"/>
    <col min="24" max="24" width="21" style="42" customWidth="1"/>
    <col min="25" max="25" width="12" style="42" customWidth="1"/>
    <col min="26" max="26" width="3" style="42" customWidth="1"/>
    <col min="27" max="27" width="6" style="42" customWidth="1"/>
    <col min="28" max="28" width="38" style="42" customWidth="1"/>
    <col min="29" max="29" width="15" style="42" customWidth="1"/>
    <col min="30" max="30" width="37.5714285714286" style="42" hidden="1" customWidth="1"/>
    <col min="31" max="31" width="15.7142857142857" style="42" hidden="1" customWidth="1"/>
    <col min="32" max="34" width="16" style="42" customWidth="1"/>
    <col min="35" max="37" width="16.7142857142857" style="42" hidden="1" customWidth="1"/>
    <col min="38" max="58" width="8" style="42" customWidth="1"/>
    <col min="59" max="59" width="9.14285714285714" style="42" hidden="1"/>
  </cols>
  <sheetData>
    <row r="1" s="37" customFormat="1" hidden="1" customHeight="1" spans="1:59">
      <c r="A1" s="296"/>
      <c r="B1" s="296"/>
      <c r="C1" s="296"/>
      <c r="BG1" s="37" t="s">
        <v>14</v>
      </c>
    </row>
    <row r="2" hidden="1" customHeight="1" spans="59:59">
      <c r="BG2" s="42">
        <v>0</v>
      </c>
    </row>
    <row r="3" s="572" customFormat="1" hidden="1" customHeight="1" spans="1:59">
      <c r="A3" s="296"/>
      <c r="B3" s="296"/>
      <c r="C3" s="296"/>
      <c r="D3" s="37"/>
      <c r="BG3" s="572">
        <v>0</v>
      </c>
    </row>
    <row r="4" ht="3" customHeight="1" spans="59:59">
      <c r="BG4" s="42">
        <v>3</v>
      </c>
    </row>
    <row r="5" ht="27.3" customHeight="1" spans="6:59">
      <c r="F5" s="750" t="str">
        <f>IP_NAME_FORM</f>
        <v>Форма 7. Информация об инвестиционных программах организации холодного водоснабжения и отчетах об их исполнении</v>
      </c>
      <c r="G5" s="750"/>
      <c r="H5" s="750"/>
      <c r="I5" s="750"/>
      <c r="J5" s="750"/>
      <c r="K5" s="750"/>
      <c r="L5" s="889"/>
      <c r="M5" s="889"/>
      <c r="BG5" s="42">
        <v>26</v>
      </c>
    </row>
    <row r="6" customHeight="1" spans="6:59">
      <c r="F6" s="657" t="str">
        <f>IF(org=0,"Не определено",org)</f>
        <v>АО "ОЭЗ ППТ "Алабуга"</v>
      </c>
      <c r="G6" s="657"/>
      <c r="H6" s="657"/>
      <c r="I6" s="657"/>
      <c r="J6" s="657"/>
      <c r="K6" s="657"/>
      <c r="L6" s="889"/>
      <c r="M6" s="889"/>
      <c r="BG6" s="42">
        <v>10</v>
      </c>
    </row>
    <row r="7" ht="11.55" customHeight="1" spans="5:59">
      <c r="E7" s="52"/>
      <c r="F7" s="885"/>
      <c r="G7" s="885"/>
      <c r="H7" s="885"/>
      <c r="I7" s="885"/>
      <c r="J7" s="885"/>
      <c r="K7" s="890"/>
      <c r="L7" s="890"/>
      <c r="M7" s="890"/>
      <c r="N7" s="885"/>
      <c r="O7" s="885"/>
      <c r="P7" s="885"/>
      <c r="Q7" s="890"/>
      <c r="R7" s="885"/>
      <c r="S7" s="885"/>
      <c r="T7" s="885"/>
      <c r="U7" s="885"/>
      <c r="V7" s="885"/>
      <c r="W7" s="885"/>
      <c r="X7" s="885"/>
      <c r="Y7" s="885"/>
      <c r="Z7" s="885"/>
      <c r="AA7" s="885"/>
      <c r="AB7" s="885"/>
      <c r="AC7" s="891"/>
      <c r="AD7" s="891"/>
      <c r="AE7" s="891"/>
      <c r="AF7" s="885"/>
      <c r="AG7" s="885"/>
      <c r="AH7" s="885"/>
      <c r="AI7" s="885"/>
      <c r="AJ7" s="885"/>
      <c r="AK7" s="885"/>
      <c r="AL7" s="37"/>
      <c r="AM7" s="37"/>
      <c r="AN7" s="37"/>
      <c r="AO7" s="80"/>
      <c r="AP7" s="80"/>
      <c r="AQ7" s="80"/>
      <c r="AR7" s="80"/>
      <c r="AS7" s="80"/>
      <c r="AT7" s="80"/>
      <c r="AU7" s="80"/>
      <c r="AV7" s="80"/>
      <c r="AW7" s="80"/>
      <c r="AX7" s="80"/>
      <c r="AY7" s="80"/>
      <c r="AZ7" s="80"/>
      <c r="BA7" s="80"/>
      <c r="BB7" s="80"/>
      <c r="BC7" s="80"/>
      <c r="BD7" s="80"/>
      <c r="BE7" s="80"/>
      <c r="BF7" s="80"/>
      <c r="BG7" s="42">
        <v>11</v>
      </c>
    </row>
    <row r="8" customHeight="1" spans="5:59">
      <c r="E8" s="52"/>
      <c r="F8" s="886" t="s">
        <v>305</v>
      </c>
      <c r="G8" s="887"/>
      <c r="H8" s="887"/>
      <c r="I8" s="887"/>
      <c r="J8" s="887"/>
      <c r="K8" s="887"/>
      <c r="L8" s="887"/>
      <c r="M8" s="887"/>
      <c r="N8" s="887"/>
      <c r="O8" s="887"/>
      <c r="P8" s="887"/>
      <c r="Q8" s="887"/>
      <c r="R8" s="887"/>
      <c r="S8" s="887"/>
      <c r="T8" s="887"/>
      <c r="U8" s="887"/>
      <c r="V8" s="887"/>
      <c r="W8" s="887"/>
      <c r="X8" s="887"/>
      <c r="Y8" s="887"/>
      <c r="Z8" s="887"/>
      <c r="AA8" s="887"/>
      <c r="AB8" s="887"/>
      <c r="AC8" s="887"/>
      <c r="AD8" s="887"/>
      <c r="AE8" s="887"/>
      <c r="AF8" s="887"/>
      <c r="AG8" s="887"/>
      <c r="AH8" s="887"/>
      <c r="AI8" s="887"/>
      <c r="AJ8" s="887"/>
      <c r="AK8" s="898"/>
      <c r="AL8" s="899"/>
      <c r="AM8" s="80"/>
      <c r="AN8" s="80"/>
      <c r="AO8" s="80"/>
      <c r="AP8" s="80"/>
      <c r="AQ8" s="80"/>
      <c r="AR8" s="80"/>
      <c r="AS8" s="80"/>
      <c r="AT8" s="80"/>
      <c r="AU8" s="80"/>
      <c r="AV8" s="80"/>
      <c r="AW8" s="80"/>
      <c r="AX8" s="80"/>
      <c r="AY8" s="80"/>
      <c r="AZ8" s="80"/>
      <c r="BA8" s="80"/>
      <c r="BB8" s="80"/>
      <c r="BC8" s="80"/>
      <c r="BD8" s="80"/>
      <c r="BE8" s="80"/>
      <c r="BF8" s="80"/>
      <c r="BG8" s="42">
        <v>10</v>
      </c>
    </row>
    <row r="9" ht="24" customHeight="1" spans="1:59">
      <c r="A9" s="888"/>
      <c r="B9" s="888"/>
      <c r="C9" s="888"/>
      <c r="E9" s="52"/>
      <c r="F9" s="65" t="s">
        <v>995</v>
      </c>
      <c r="G9" s="843" t="s">
        <v>996</v>
      </c>
      <c r="H9" s="844"/>
      <c r="I9" s="63" t="s">
        <v>997</v>
      </c>
      <c r="J9" s="63"/>
      <c r="K9" s="63" t="s">
        <v>998</v>
      </c>
      <c r="L9" s="63"/>
      <c r="M9" s="63"/>
      <c r="N9" s="63"/>
      <c r="O9" s="63"/>
      <c r="P9" s="63"/>
      <c r="Q9" s="63"/>
      <c r="R9" s="63"/>
      <c r="S9" s="63"/>
      <c r="T9" s="63"/>
      <c r="U9" s="63"/>
      <c r="V9" s="63"/>
      <c r="W9" s="63"/>
      <c r="X9" s="63"/>
      <c r="Y9" s="63"/>
      <c r="Z9" s="892" t="s">
        <v>999</v>
      </c>
      <c r="AA9" s="893"/>
      <c r="AB9" s="63" t="s">
        <v>1000</v>
      </c>
      <c r="AC9" s="63"/>
      <c r="AD9" s="63"/>
      <c r="AE9" s="63"/>
      <c r="AF9" s="70" t="s">
        <v>1001</v>
      </c>
      <c r="AG9" s="63" t="s">
        <v>1002</v>
      </c>
      <c r="AH9" s="63"/>
      <c r="AI9" s="70" t="s">
        <v>1003</v>
      </c>
      <c r="AJ9" s="63" t="s">
        <v>1004</v>
      </c>
      <c r="AK9" s="63"/>
      <c r="AM9" s="80"/>
      <c r="AN9" s="80"/>
      <c r="AO9" s="80"/>
      <c r="AP9" s="80"/>
      <c r="AQ9" s="80"/>
      <c r="AR9" s="80"/>
      <c r="AS9" s="80"/>
      <c r="AT9" s="80"/>
      <c r="AU9" s="80"/>
      <c r="AV9" s="80"/>
      <c r="AW9" s="80"/>
      <c r="AX9" s="80"/>
      <c r="AY9" s="80"/>
      <c r="AZ9" s="80"/>
      <c r="BA9" s="80"/>
      <c r="BB9" s="80"/>
      <c r="BC9" s="80"/>
      <c r="BD9" s="80"/>
      <c r="BE9" s="80"/>
      <c r="BF9" s="80"/>
      <c r="BG9" s="42">
        <v>23</v>
      </c>
    </row>
    <row r="10" ht="25.2" customHeight="1" spans="1:59">
      <c r="A10" s="888"/>
      <c r="B10" s="888"/>
      <c r="C10" s="888"/>
      <c r="E10" s="52"/>
      <c r="F10" s="65"/>
      <c r="G10" s="848"/>
      <c r="H10" s="247"/>
      <c r="I10" s="63"/>
      <c r="J10" s="63"/>
      <c r="K10" s="63" t="s">
        <v>1005</v>
      </c>
      <c r="L10" s="125" t="s">
        <v>1006</v>
      </c>
      <c r="M10" s="126"/>
      <c r="N10" s="63" t="s">
        <v>1007</v>
      </c>
      <c r="O10" s="63"/>
      <c r="P10" s="63"/>
      <c r="Q10" s="63"/>
      <c r="R10" s="63"/>
      <c r="S10" s="63"/>
      <c r="T10" s="63"/>
      <c r="U10" s="63"/>
      <c r="V10" s="63"/>
      <c r="W10" s="63"/>
      <c r="X10" s="63"/>
      <c r="Y10" s="63"/>
      <c r="Z10" s="894"/>
      <c r="AA10" s="895"/>
      <c r="AB10" s="63"/>
      <c r="AC10" s="63"/>
      <c r="AD10" s="63"/>
      <c r="AE10" s="63"/>
      <c r="AF10" s="397"/>
      <c r="AG10" s="63"/>
      <c r="AH10" s="63"/>
      <c r="AI10" s="397"/>
      <c r="AJ10" s="63"/>
      <c r="AK10" s="63"/>
      <c r="AM10" s="80"/>
      <c r="AN10" s="80"/>
      <c r="AO10" s="80"/>
      <c r="AP10" s="80"/>
      <c r="AQ10" s="80"/>
      <c r="AR10" s="80"/>
      <c r="AS10" s="80"/>
      <c r="AT10" s="80"/>
      <c r="AU10" s="80"/>
      <c r="AV10" s="80"/>
      <c r="AW10" s="80"/>
      <c r="AX10" s="80"/>
      <c r="AY10" s="80"/>
      <c r="AZ10" s="80"/>
      <c r="BA10" s="80"/>
      <c r="BB10" s="80"/>
      <c r="BC10" s="80"/>
      <c r="BD10" s="80"/>
      <c r="BE10" s="80"/>
      <c r="BF10" s="80"/>
      <c r="BG10" s="42">
        <v>24</v>
      </c>
    </row>
    <row r="11" s="42" customFormat="1" ht="25.2" customHeight="1" spans="1:59">
      <c r="A11" s="888"/>
      <c r="B11" s="888"/>
      <c r="C11" s="888"/>
      <c r="D11" s="37"/>
      <c r="E11" s="52"/>
      <c r="F11" s="65"/>
      <c r="G11" s="848"/>
      <c r="H11" s="247"/>
      <c r="I11" s="63"/>
      <c r="J11" s="63"/>
      <c r="K11" s="63"/>
      <c r="L11" s="70" t="s">
        <v>1008</v>
      </c>
      <c r="M11" s="70" t="s">
        <v>1009</v>
      </c>
      <c r="N11" s="63" t="s">
        <v>1010</v>
      </c>
      <c r="O11" s="63"/>
      <c r="P11" s="130" t="s">
        <v>991</v>
      </c>
      <c r="Q11" s="130" t="s">
        <v>1011</v>
      </c>
      <c r="R11" s="130" t="s">
        <v>1012</v>
      </c>
      <c r="S11" s="130" t="s">
        <v>1013</v>
      </c>
      <c r="T11" s="130"/>
      <c r="U11" s="130"/>
      <c r="V11" s="130"/>
      <c r="W11" s="130"/>
      <c r="X11" s="130"/>
      <c r="Y11" s="130"/>
      <c r="Z11" s="894"/>
      <c r="AA11" s="895"/>
      <c r="AB11" s="63" t="s">
        <v>1014</v>
      </c>
      <c r="AC11" s="63"/>
      <c r="AD11" s="125" t="s">
        <v>1015</v>
      </c>
      <c r="AE11" s="126"/>
      <c r="AF11" s="397"/>
      <c r="AG11" s="63"/>
      <c r="AH11" s="63"/>
      <c r="AI11" s="397"/>
      <c r="AJ11" s="63"/>
      <c r="AK11" s="63"/>
      <c r="AM11" s="80"/>
      <c r="AN11" s="80"/>
      <c r="AO11" s="80"/>
      <c r="AP11" s="80"/>
      <c r="AQ11" s="80"/>
      <c r="AR11" s="80"/>
      <c r="AS11" s="80"/>
      <c r="AT11" s="80"/>
      <c r="AU11" s="80"/>
      <c r="AV11" s="80"/>
      <c r="AW11" s="80"/>
      <c r="AX11" s="80"/>
      <c r="AY11" s="80"/>
      <c r="AZ11" s="80"/>
      <c r="BA11" s="80"/>
      <c r="BB11" s="80"/>
      <c r="BC11" s="80"/>
      <c r="BD11" s="80"/>
      <c r="BE11" s="80"/>
      <c r="BF11" s="80"/>
      <c r="BG11" s="42">
        <v>24</v>
      </c>
    </row>
    <row r="12" ht="35.7" customHeight="1" spans="1:59">
      <c r="A12" s="888"/>
      <c r="B12" s="888"/>
      <c r="C12" s="888"/>
      <c r="E12" s="52"/>
      <c r="F12" s="65"/>
      <c r="G12" s="845"/>
      <c r="H12" s="846"/>
      <c r="I12" s="63" t="s">
        <v>90</v>
      </c>
      <c r="J12" s="63" t="s">
        <v>1016</v>
      </c>
      <c r="K12" s="63"/>
      <c r="L12" s="72"/>
      <c r="M12" s="72"/>
      <c r="N12" s="63"/>
      <c r="O12" s="63"/>
      <c r="P12" s="130"/>
      <c r="Q12" s="130"/>
      <c r="R12" s="130"/>
      <c r="S12" s="130" t="s">
        <v>87</v>
      </c>
      <c r="T12" s="130" t="s">
        <v>88</v>
      </c>
      <c r="U12" s="130" t="s">
        <v>86</v>
      </c>
      <c r="V12" s="130" t="s">
        <v>1017</v>
      </c>
      <c r="W12" s="130" t="s">
        <v>86</v>
      </c>
      <c r="X12" s="130" t="s">
        <v>1018</v>
      </c>
      <c r="Y12" s="130" t="s">
        <v>1019</v>
      </c>
      <c r="Z12" s="896"/>
      <c r="AA12" s="897"/>
      <c r="AB12" s="63" t="s">
        <v>1020</v>
      </c>
      <c r="AC12" s="63" t="s">
        <v>1021</v>
      </c>
      <c r="AD12" s="63" t="s">
        <v>1020</v>
      </c>
      <c r="AE12" s="63" t="s">
        <v>1021</v>
      </c>
      <c r="AF12" s="72"/>
      <c r="AG12" s="63" t="s">
        <v>1022</v>
      </c>
      <c r="AH12" s="63" t="s">
        <v>1023</v>
      </c>
      <c r="AI12" s="72"/>
      <c r="AJ12" s="63" t="s">
        <v>1022</v>
      </c>
      <c r="AK12" s="63" t="s">
        <v>1023</v>
      </c>
      <c r="AM12" s="80"/>
      <c r="AN12" s="80"/>
      <c r="AO12" s="80"/>
      <c r="AP12" s="80"/>
      <c r="AQ12" s="80"/>
      <c r="AR12" s="80"/>
      <c r="AS12" s="80"/>
      <c r="AT12" s="80"/>
      <c r="AU12" s="80"/>
      <c r="AV12" s="80"/>
      <c r="AW12" s="80"/>
      <c r="AX12" s="80"/>
      <c r="AY12" s="80"/>
      <c r="AZ12" s="80"/>
      <c r="BA12" s="80"/>
      <c r="BB12" s="80"/>
      <c r="BC12" s="80"/>
      <c r="BD12" s="80"/>
      <c r="BE12" s="80"/>
      <c r="BF12" s="80"/>
      <c r="BG12" s="42">
        <v>34</v>
      </c>
    </row>
    <row r="13" ht="1.05" customHeight="1" spans="5:59">
      <c r="E13" s="52"/>
      <c r="F13" s="52">
        <v>0</v>
      </c>
      <c r="G13" s="52"/>
      <c r="H13" s="52"/>
      <c r="I13" s="52"/>
      <c r="J13" s="52"/>
      <c r="AL13" s="899"/>
      <c r="AM13" s="80"/>
      <c r="AN13" s="80"/>
      <c r="AO13" s="80"/>
      <c r="AP13" s="80"/>
      <c r="AQ13" s="80"/>
      <c r="AR13" s="80"/>
      <c r="AS13" s="80"/>
      <c r="AT13" s="80"/>
      <c r="AU13" s="80"/>
      <c r="AV13" s="80"/>
      <c r="AW13" s="80"/>
      <c r="AX13" s="80"/>
      <c r="AY13" s="80"/>
      <c r="AZ13" s="80"/>
      <c r="BA13" s="80"/>
      <c r="BB13" s="80"/>
      <c r="BC13" s="80"/>
      <c r="BD13" s="80"/>
      <c r="BE13" s="80"/>
      <c r="BF13" s="80"/>
      <c r="BG13" s="42">
        <v>1</v>
      </c>
    </row>
    <row r="14" customHeight="1" spans="5:59">
      <c r="E14" s="80"/>
      <c r="AL14" s="80"/>
      <c r="AM14" s="80"/>
      <c r="AN14" s="80"/>
      <c r="AO14" s="80"/>
      <c r="AP14" s="80"/>
      <c r="AQ14" s="80"/>
      <c r="AR14" s="80"/>
      <c r="AS14" s="80"/>
      <c r="AT14" s="80"/>
      <c r="AU14" s="80"/>
      <c r="AV14" s="80"/>
      <c r="AW14" s="80"/>
      <c r="AX14" s="80"/>
      <c r="AY14" s="80"/>
      <c r="AZ14" s="80"/>
      <c r="BA14" s="80"/>
      <c r="BB14" s="80"/>
      <c r="BC14" s="80"/>
      <c r="BD14" s="80"/>
      <c r="BE14" s="80"/>
      <c r="BF14" s="80"/>
      <c r="BG14" s="42">
        <v>10</v>
      </c>
    </row>
    <row r="15" ht="13.5" customHeight="1" spans="5:59">
      <c r="E15" s="80"/>
      <c r="F15" s="500" t="s">
        <v>1024</v>
      </c>
      <c r="G15" s="500"/>
      <c r="H15" s="500"/>
      <c r="I15" s="500"/>
      <c r="J15" s="50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42">
        <v>13</v>
      </c>
    </row>
    <row r="16" customHeight="1" spans="59:59">
      <c r="BG16" s="42">
        <v>10</v>
      </c>
    </row>
    <row r="17" customHeight="1" spans="5:59">
      <c r="E17" s="80"/>
      <c r="F17" s="41"/>
      <c r="G17" s="41"/>
      <c r="H17" s="41"/>
      <c r="I17" s="41"/>
      <c r="J17" s="41"/>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42">
        <v>10</v>
      </c>
    </row>
    <row r="18" customHeight="1" spans="5:59">
      <c r="E18" s="80"/>
      <c r="F18" s="41"/>
      <c r="G18" s="41"/>
      <c r="H18" s="41"/>
      <c r="I18" s="41"/>
      <c r="J18" s="41"/>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42">
        <v>10</v>
      </c>
    </row>
    <row r="19" customHeight="1" spans="5:59">
      <c r="E19" s="80"/>
      <c r="F19" s="41"/>
      <c r="G19" s="41"/>
      <c r="H19" s="41"/>
      <c r="I19" s="41"/>
      <c r="J19" s="41"/>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42">
        <v>10</v>
      </c>
    </row>
    <row r="20" hidden="1" customHeight="1" spans="1:59">
      <c r="A20" s="296" t="s">
        <v>83</v>
      </c>
      <c r="B20" s="296">
        <v>0</v>
      </c>
      <c r="C20" s="296">
        <v>0</v>
      </c>
      <c r="D20" s="37">
        <v>0</v>
      </c>
      <c r="E20" s="42">
        <v>3</v>
      </c>
      <c r="F20" s="42">
        <v>14</v>
      </c>
      <c r="G20" s="42">
        <v>3</v>
      </c>
      <c r="H20" s="42">
        <v>7</v>
      </c>
      <c r="I20" s="42">
        <v>16</v>
      </c>
      <c r="J20" s="42">
        <v>16</v>
      </c>
      <c r="K20" s="42">
        <v>25</v>
      </c>
      <c r="L20" s="42">
        <v>7</v>
      </c>
      <c r="M20" s="42">
        <v>15</v>
      </c>
      <c r="N20" s="42">
        <v>3</v>
      </c>
      <c r="O20" s="42">
        <v>4</v>
      </c>
      <c r="P20" s="42">
        <v>8</v>
      </c>
      <c r="Q20" s="42">
        <v>21</v>
      </c>
      <c r="R20" s="42">
        <v>14</v>
      </c>
      <c r="S20" s="42">
        <v>17</v>
      </c>
      <c r="T20" s="42">
        <v>17</v>
      </c>
      <c r="U20" s="42">
        <v>9</v>
      </c>
      <c r="V20" s="42">
        <v>12</v>
      </c>
      <c r="W20" s="42">
        <v>9</v>
      </c>
      <c r="X20" s="42">
        <v>21</v>
      </c>
      <c r="Y20" s="42">
        <v>12</v>
      </c>
      <c r="Z20" s="42">
        <v>3</v>
      </c>
      <c r="AA20" s="42">
        <v>6</v>
      </c>
      <c r="AB20" s="42">
        <v>38</v>
      </c>
      <c r="AC20" s="42">
        <v>15</v>
      </c>
      <c r="AD20" s="42">
        <v>0</v>
      </c>
      <c r="AE20" s="42">
        <v>0</v>
      </c>
      <c r="AF20" s="42">
        <v>16</v>
      </c>
      <c r="AG20" s="42">
        <v>16</v>
      </c>
      <c r="AH20" s="42">
        <v>16</v>
      </c>
      <c r="AI20" s="42">
        <v>0</v>
      </c>
      <c r="AJ20" s="42">
        <v>0</v>
      </c>
      <c r="AK20" s="42">
        <v>0</v>
      </c>
      <c r="AL20" s="42">
        <v>8</v>
      </c>
      <c r="AM20" s="42">
        <v>8</v>
      </c>
      <c r="AN20" s="42">
        <v>8</v>
      </c>
      <c r="AO20" s="42">
        <v>8</v>
      </c>
      <c r="AP20" s="42">
        <v>8</v>
      </c>
      <c r="AQ20" s="42">
        <v>8</v>
      </c>
      <c r="AR20" s="42">
        <v>8</v>
      </c>
      <c r="AS20" s="42">
        <v>8</v>
      </c>
      <c r="AT20" s="42">
        <v>8</v>
      </c>
      <c r="AU20" s="42">
        <v>8</v>
      </c>
      <c r="AV20" s="42">
        <v>8</v>
      </c>
      <c r="AW20" s="42">
        <v>8</v>
      </c>
      <c r="AX20" s="42">
        <v>8</v>
      </c>
      <c r="AY20" s="42">
        <v>8</v>
      </c>
      <c r="AZ20" s="42">
        <v>8</v>
      </c>
      <c r="BA20" s="42">
        <v>8</v>
      </c>
      <c r="BB20" s="42">
        <v>8</v>
      </c>
      <c r="BC20" s="42">
        <v>8</v>
      </c>
      <c r="BD20" s="42">
        <v>8</v>
      </c>
      <c r="BE20" s="42">
        <v>8</v>
      </c>
      <c r="BF20" s="42">
        <v>8</v>
      </c>
      <c r="BG20" s="42">
        <v>10</v>
      </c>
    </row>
  </sheetData>
  <sheetProtection formatColumns="0" formatRows="0" insertRows="0" deleteColumns="0" deleteRows="0" sort="0" autoFilter="0"/>
  <mergeCells count="28">
    <mergeCell ref="F5:K5"/>
    <mergeCell ref="F6:K6"/>
    <mergeCell ref="F8:AK8"/>
    <mergeCell ref="K9:Y9"/>
    <mergeCell ref="L10:M10"/>
    <mergeCell ref="N10:Y10"/>
    <mergeCell ref="S11:Y11"/>
    <mergeCell ref="AB11:AC11"/>
    <mergeCell ref="AD11:AE11"/>
    <mergeCell ref="F17:J17"/>
    <mergeCell ref="F18:J18"/>
    <mergeCell ref="F19:J19"/>
    <mergeCell ref="F9:F12"/>
    <mergeCell ref="K10:K12"/>
    <mergeCell ref="L11:L12"/>
    <mergeCell ref="M11:M12"/>
    <mergeCell ref="P11:P12"/>
    <mergeCell ref="Q11:Q12"/>
    <mergeCell ref="R11:R12"/>
    <mergeCell ref="AF9:AF12"/>
    <mergeCell ref="AI9:AI12"/>
    <mergeCell ref="AB9:AE10"/>
    <mergeCell ref="N11:O12"/>
    <mergeCell ref="G9:H12"/>
    <mergeCell ref="Z9:AA12"/>
    <mergeCell ref="I9:J11"/>
    <mergeCell ref="AG9:AH11"/>
    <mergeCell ref="AJ9:AK1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W59"/>
  <sheetViews>
    <sheetView showGridLines="0" zoomScale="85" zoomScaleNormal="85" workbookViewId="0">
      <pane xSplit="9" ySplit="13" topLeftCell="J14" activePane="bottomRight" state="frozen"/>
      <selection/>
      <selection pane="topRight"/>
      <selection pane="bottomLeft"/>
      <selection pane="bottomRight" activeCell="A1" sqref="A1"/>
    </sheetView>
  </sheetViews>
  <sheetFormatPr defaultColWidth="9.14285714285714" defaultRowHeight="10.5" customHeight="1"/>
  <cols>
    <col min="1" max="3" width="4.14285714285714" style="296" hidden="1" customWidth="1"/>
    <col min="4" max="4" width="4.14285714285714" style="37" hidden="1" customWidth="1"/>
    <col min="5" max="5" width="3" style="42" customWidth="1"/>
    <col min="6" max="6" width="6" style="42" customWidth="1"/>
    <col min="7" max="7" width="60" style="42" customWidth="1"/>
    <col min="8" max="9" width="21.7142857142857" style="42" hidden="1" customWidth="1"/>
    <col min="10" max="10" width="0.142857142857143" style="42" customWidth="1"/>
    <col min="11" max="11" width="1" style="42" customWidth="1"/>
    <col min="12" max="22" width="8" style="42" customWidth="1"/>
    <col min="23" max="23" width="9.14285714285714" style="42" hidden="1"/>
  </cols>
  <sheetData>
    <row r="1" s="37" customFormat="1" hidden="1" customHeight="1" spans="1:23">
      <c r="A1" s="296"/>
      <c r="B1" s="296"/>
      <c r="C1" s="296"/>
      <c r="W1" s="37" t="s">
        <v>14</v>
      </c>
    </row>
    <row r="2" hidden="1" customHeight="1" spans="23:23">
      <c r="W2" s="42">
        <v>0</v>
      </c>
    </row>
    <row r="3" s="572" customFormat="1" hidden="1" customHeight="1" spans="1:23">
      <c r="A3" s="296"/>
      <c r="B3" s="296"/>
      <c r="C3" s="296"/>
      <c r="D3" s="37"/>
      <c r="W3" s="572">
        <v>0</v>
      </c>
    </row>
    <row r="4" ht="3" customHeight="1" spans="23:23">
      <c r="W4" s="42">
        <v>3</v>
      </c>
    </row>
    <row r="5" ht="27.3" customHeight="1" spans="6:23">
      <c r="F5" s="75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750"/>
      <c r="H5" s="750"/>
      <c r="I5" s="750"/>
      <c r="J5" s="750"/>
      <c r="W5" s="42">
        <v>26</v>
      </c>
    </row>
    <row r="6" customHeight="1" spans="6:23">
      <c r="F6" s="657" t="str">
        <f>IF(org=0,"Не определено",org)</f>
        <v>АО "ОЭЗ ППТ "Алабуга"</v>
      </c>
      <c r="G6" s="657"/>
      <c r="H6" s="657"/>
      <c r="I6" s="657"/>
      <c r="J6" s="657"/>
      <c r="W6" s="42">
        <v>10</v>
      </c>
    </row>
    <row r="7" ht="11.55" customHeight="1" spans="5:23">
      <c r="E7" s="52"/>
      <c r="F7" s="869"/>
      <c r="G7" s="869"/>
      <c r="H7" s="869"/>
      <c r="I7" s="869"/>
      <c r="J7" s="869"/>
      <c r="K7" s="80"/>
      <c r="L7" s="80"/>
      <c r="M7" s="80"/>
      <c r="N7" s="80"/>
      <c r="O7" s="80"/>
      <c r="P7" s="80"/>
      <c r="Q7" s="80"/>
      <c r="R7" s="80"/>
      <c r="S7" s="80"/>
      <c r="T7" s="80"/>
      <c r="U7" s="80"/>
      <c r="V7" s="80"/>
      <c r="W7" s="42">
        <v>11</v>
      </c>
    </row>
    <row r="8" s="43" customFormat="1" ht="4.2" customHeight="1" spans="1:23">
      <c r="A8" s="306"/>
      <c r="B8" s="306"/>
      <c r="C8" s="306"/>
      <c r="E8" s="151"/>
      <c r="F8" s="870"/>
      <c r="G8" s="870"/>
      <c r="H8" s="870"/>
      <c r="I8" s="870"/>
      <c r="J8" s="870"/>
      <c r="K8" s="151"/>
      <c r="L8" s="151"/>
      <c r="M8" s="151"/>
      <c r="N8" s="151"/>
      <c r="O8" s="151"/>
      <c r="P8" s="151"/>
      <c r="Q8" s="151"/>
      <c r="R8" s="151"/>
      <c r="S8" s="151"/>
      <c r="T8" s="151"/>
      <c r="U8" s="151"/>
      <c r="V8" s="151"/>
      <c r="W8" s="43">
        <v>4</v>
      </c>
    </row>
    <row r="9" customHeight="1" spans="5:23">
      <c r="E9" s="52"/>
      <c r="F9" s="871" t="s">
        <v>305</v>
      </c>
      <c r="G9" s="872"/>
      <c r="H9" s="872"/>
      <c r="I9" s="872"/>
      <c r="J9" s="872"/>
      <c r="K9" s="881"/>
      <c r="L9" s="80"/>
      <c r="M9" s="80"/>
      <c r="N9" s="80"/>
      <c r="O9" s="80"/>
      <c r="P9" s="80"/>
      <c r="Q9" s="80"/>
      <c r="R9" s="80"/>
      <c r="S9" s="80"/>
      <c r="T9" s="80"/>
      <c r="U9" s="80"/>
      <c r="V9" s="80"/>
      <c r="W9" s="42">
        <v>10</v>
      </c>
    </row>
    <row r="10" ht="25.2" customHeight="1" spans="5:23">
      <c r="E10" s="80"/>
      <c r="F10" s="873" t="s">
        <v>89</v>
      </c>
      <c r="G10" s="465" t="s">
        <v>1025</v>
      </c>
      <c r="H10" s="259" t="s">
        <v>1026</v>
      </c>
      <c r="I10" s="259"/>
      <c r="J10" s="259"/>
      <c r="K10" s="882"/>
      <c r="L10" s="80"/>
      <c r="M10" s="80"/>
      <c r="N10" s="80"/>
      <c r="O10" s="80"/>
      <c r="P10" s="80"/>
      <c r="Q10" s="80"/>
      <c r="R10" s="80"/>
      <c r="S10" s="80"/>
      <c r="T10" s="80"/>
      <c r="U10" s="80"/>
      <c r="V10" s="80"/>
      <c r="W10" s="42">
        <v>24</v>
      </c>
    </row>
    <row r="11" ht="25.5" customHeight="1" spans="5:23">
      <c r="E11" s="80"/>
      <c r="F11" s="874"/>
      <c r="G11" s="465"/>
      <c r="H11" s="785" t="e">
        <f>INDEX(IP_MAIN_LIST_NAME_IP,MATCH(H8,IP_MAIN_LIST_IP_ID,0))&amp;" ("&amp;INDEX(IP_MAIN_START_DATE,MATCH(H8,IP_MAIN_LIST_IP_ID,0))&amp;"-"&amp;INDEX(IP_MAIN_END_DATE,MATCH(H8,IP_MAIN_LIST_IP_ID,0))&amp;")"</f>
        <v>#N/A</v>
      </c>
      <c r="I11" s="785"/>
      <c r="J11" s="785"/>
      <c r="K11" s="882"/>
      <c r="L11" s="80"/>
      <c r="M11" s="80"/>
      <c r="N11" s="80"/>
      <c r="O11" s="80"/>
      <c r="P11" s="80"/>
      <c r="Q11" s="80"/>
      <c r="R11" s="80"/>
      <c r="S11" s="80"/>
      <c r="T11" s="80"/>
      <c r="U11" s="80"/>
      <c r="V11" s="80"/>
      <c r="W11" s="42">
        <v>24</v>
      </c>
    </row>
    <row r="12" customHeight="1" spans="6:23">
      <c r="F12" s="875"/>
      <c r="G12" s="465"/>
      <c r="H12" s="465" t="s">
        <v>1027</v>
      </c>
      <c r="I12" s="883"/>
      <c r="J12" s="465"/>
      <c r="K12" s="426"/>
      <c r="W12" s="42">
        <v>10</v>
      </c>
    </row>
    <row r="13" hidden="1" customHeight="1" spans="6:23">
      <c r="F13" s="465">
        <v>1</v>
      </c>
      <c r="G13" s="465">
        <v>2</v>
      </c>
      <c r="H13" s="465">
        <v>3</v>
      </c>
      <c r="I13" s="465">
        <v>4</v>
      </c>
      <c r="J13" s="465">
        <v>5</v>
      </c>
      <c r="K13" s="426"/>
      <c r="W13" s="42">
        <v>0</v>
      </c>
    </row>
    <row r="14" ht="11.55" customHeight="1" spans="6:23">
      <c r="F14" s="259" t="s">
        <v>1028</v>
      </c>
      <c r="G14" s="876" t="s">
        <v>1029</v>
      </c>
      <c r="H14" s="876"/>
      <c r="I14" s="876"/>
      <c r="J14" s="876"/>
      <c r="K14" s="426"/>
      <c r="W14" s="42">
        <v>11</v>
      </c>
    </row>
    <row r="15" ht="11.55" customHeight="1" spans="6:23">
      <c r="F15" s="465">
        <v>1</v>
      </c>
      <c r="G15" s="877" t="s">
        <v>1030</v>
      </c>
      <c r="H15" s="488">
        <f t="shared" ref="H15:H36" si="0">SUM(I15:J15)</f>
        <v>0</v>
      </c>
      <c r="I15" s="488">
        <f>SUM(I16:I27)</f>
        <v>0</v>
      </c>
      <c r="J15" s="259"/>
      <c r="K15" s="426"/>
      <c r="W15" s="42">
        <v>11</v>
      </c>
    </row>
    <row r="16" ht="24" customHeight="1" spans="6:23">
      <c r="F16" s="465" t="s">
        <v>1031</v>
      </c>
      <c r="G16" s="878" t="s">
        <v>1032</v>
      </c>
      <c r="H16" s="488">
        <f t="shared" si="0"/>
        <v>0</v>
      </c>
      <c r="I16" s="884"/>
      <c r="J16" s="259"/>
      <c r="K16" s="426"/>
      <c r="W16" s="42">
        <v>23</v>
      </c>
    </row>
    <row r="17" ht="24" customHeight="1" spans="6:23">
      <c r="F17" s="465" t="s">
        <v>1033</v>
      </c>
      <c r="G17" s="878" t="s">
        <v>1034</v>
      </c>
      <c r="H17" s="488">
        <f t="shared" si="0"/>
        <v>0</v>
      </c>
      <c r="I17" s="884"/>
      <c r="J17" s="259"/>
      <c r="K17" s="426"/>
      <c r="W17" s="42">
        <v>23</v>
      </c>
    </row>
    <row r="18" ht="35.7" customHeight="1" spans="6:23">
      <c r="F18" s="465" t="s">
        <v>1035</v>
      </c>
      <c r="G18" s="878" t="s">
        <v>1036</v>
      </c>
      <c r="H18" s="488">
        <f t="shared" si="0"/>
        <v>0</v>
      </c>
      <c r="I18" s="884"/>
      <c r="J18" s="259"/>
      <c r="K18" s="426"/>
      <c r="W18" s="42">
        <v>34</v>
      </c>
    </row>
    <row r="19" ht="35.7" customHeight="1" spans="6:23">
      <c r="F19" s="465" t="s">
        <v>1037</v>
      </c>
      <c r="G19" s="878" t="s">
        <v>1038</v>
      </c>
      <c r="H19" s="488">
        <f t="shared" si="0"/>
        <v>0</v>
      </c>
      <c r="I19" s="884"/>
      <c r="J19" s="259"/>
      <c r="K19" s="426"/>
      <c r="W19" s="42">
        <v>34</v>
      </c>
    </row>
    <row r="20" ht="48.3" customHeight="1" spans="6:23">
      <c r="F20" s="465" t="s">
        <v>1039</v>
      </c>
      <c r="G20" s="878" t="s">
        <v>1040</v>
      </c>
      <c r="H20" s="488">
        <f t="shared" si="0"/>
        <v>0</v>
      </c>
      <c r="I20" s="884"/>
      <c r="J20" s="259"/>
      <c r="K20" s="426"/>
      <c r="W20" s="42">
        <v>46</v>
      </c>
    </row>
    <row r="21" ht="35.7" customHeight="1" spans="6:23">
      <c r="F21" s="465" t="s">
        <v>1041</v>
      </c>
      <c r="G21" s="878" t="s">
        <v>1042</v>
      </c>
      <c r="H21" s="488">
        <f t="shared" si="0"/>
        <v>0</v>
      </c>
      <c r="I21" s="884"/>
      <c r="J21" s="259"/>
      <c r="K21" s="426"/>
      <c r="W21" s="42">
        <v>34</v>
      </c>
    </row>
    <row r="22" ht="35.7" customHeight="1" spans="6:23">
      <c r="F22" s="465" t="s">
        <v>1043</v>
      </c>
      <c r="G22" s="878" t="s">
        <v>1044</v>
      </c>
      <c r="H22" s="488">
        <f t="shared" si="0"/>
        <v>0</v>
      </c>
      <c r="I22" s="884"/>
      <c r="J22" s="259"/>
      <c r="K22" s="426"/>
      <c r="W22" s="42">
        <v>34</v>
      </c>
    </row>
    <row r="23" ht="24" customHeight="1" spans="6:23">
      <c r="F23" s="465" t="s">
        <v>1045</v>
      </c>
      <c r="G23" s="878" t="s">
        <v>1046</v>
      </c>
      <c r="H23" s="488">
        <f t="shared" si="0"/>
        <v>0</v>
      </c>
      <c r="I23" s="884"/>
      <c r="J23" s="259"/>
      <c r="K23" s="426"/>
      <c r="W23" s="42">
        <v>23</v>
      </c>
    </row>
    <row r="24" ht="24" customHeight="1" spans="6:23">
      <c r="F24" s="465" t="s">
        <v>1047</v>
      </c>
      <c r="G24" s="878" t="s">
        <v>1048</v>
      </c>
      <c r="H24" s="488">
        <f t="shared" si="0"/>
        <v>0</v>
      </c>
      <c r="I24" s="884"/>
      <c r="J24" s="259"/>
      <c r="K24" s="426"/>
      <c r="W24" s="42">
        <v>23</v>
      </c>
    </row>
    <row r="25" ht="35.7" customHeight="1" spans="6:23">
      <c r="F25" s="465" t="s">
        <v>1049</v>
      </c>
      <c r="G25" s="878" t="s">
        <v>1050</v>
      </c>
      <c r="H25" s="488">
        <f t="shared" si="0"/>
        <v>0</v>
      </c>
      <c r="I25" s="884"/>
      <c r="J25" s="259"/>
      <c r="K25" s="426"/>
      <c r="W25" s="42">
        <v>34</v>
      </c>
    </row>
    <row r="26" ht="35.7" customHeight="1" spans="6:23">
      <c r="F26" s="465" t="s">
        <v>1051</v>
      </c>
      <c r="G26" s="878" t="s">
        <v>1052</v>
      </c>
      <c r="H26" s="488">
        <f t="shared" si="0"/>
        <v>0</v>
      </c>
      <c r="I26" s="884"/>
      <c r="J26" s="259"/>
      <c r="K26" s="426"/>
      <c r="W26" s="42">
        <v>34</v>
      </c>
    </row>
    <row r="27" ht="11.55" customHeight="1" spans="6:23">
      <c r="F27" s="465" t="s">
        <v>1053</v>
      </c>
      <c r="G27" s="878" t="s">
        <v>1054</v>
      </c>
      <c r="H27" s="488">
        <f t="shared" si="0"/>
        <v>0</v>
      </c>
      <c r="I27" s="884"/>
      <c r="J27" s="259"/>
      <c r="K27" s="426"/>
      <c r="W27" s="42">
        <v>11</v>
      </c>
    </row>
    <row r="28" ht="11.55" customHeight="1" spans="6:23">
      <c r="F28" s="465">
        <v>2</v>
      </c>
      <c r="G28" s="877" t="s">
        <v>1055</v>
      </c>
      <c r="H28" s="488">
        <f t="shared" si="0"/>
        <v>0</v>
      </c>
      <c r="I28" s="488">
        <f>SUM(I29:I31)</f>
        <v>0</v>
      </c>
      <c r="J28" s="259"/>
      <c r="K28" s="426"/>
      <c r="W28" s="42">
        <v>11</v>
      </c>
    </row>
    <row r="29" ht="11.55" customHeight="1" spans="6:23">
      <c r="F29" s="465" t="s">
        <v>718</v>
      </c>
      <c r="G29" s="878" t="s">
        <v>1056</v>
      </c>
      <c r="H29" s="488">
        <f t="shared" si="0"/>
        <v>0</v>
      </c>
      <c r="I29" s="884"/>
      <c r="J29" s="259"/>
      <c r="K29" s="426"/>
      <c r="W29" s="42">
        <v>11</v>
      </c>
    </row>
    <row r="30" ht="11.55" customHeight="1" spans="6:23">
      <c r="F30" s="465" t="s">
        <v>312</v>
      </c>
      <c r="G30" s="878" t="s">
        <v>1057</v>
      </c>
      <c r="H30" s="488">
        <f t="shared" si="0"/>
        <v>0</v>
      </c>
      <c r="I30" s="884"/>
      <c r="J30" s="259"/>
      <c r="K30" s="426"/>
      <c r="W30" s="42">
        <v>11</v>
      </c>
    </row>
    <row r="31" ht="11.55" customHeight="1" spans="6:23">
      <c r="F31" s="465" t="s">
        <v>315</v>
      </c>
      <c r="G31" s="878" t="s">
        <v>1058</v>
      </c>
      <c r="H31" s="488">
        <f t="shared" si="0"/>
        <v>0</v>
      </c>
      <c r="I31" s="884"/>
      <c r="J31" s="259"/>
      <c r="K31" s="426"/>
      <c r="W31" s="42">
        <v>11</v>
      </c>
    </row>
    <row r="32" ht="11.55" customHeight="1" spans="6:23">
      <c r="F32" s="465">
        <v>3</v>
      </c>
      <c r="G32" s="877" t="s">
        <v>1059</v>
      </c>
      <c r="H32" s="488">
        <f t="shared" si="0"/>
        <v>0</v>
      </c>
      <c r="I32" s="488">
        <f>SUM(I33:I34)</f>
        <v>0</v>
      </c>
      <c r="J32" s="259"/>
      <c r="K32" s="426"/>
      <c r="W32" s="42">
        <v>11</v>
      </c>
    </row>
    <row r="33" ht="48.3" customHeight="1" spans="6:23">
      <c r="F33" s="465" t="s">
        <v>329</v>
      </c>
      <c r="G33" s="878" t="s">
        <v>1060</v>
      </c>
      <c r="H33" s="488">
        <f t="shared" si="0"/>
        <v>0</v>
      </c>
      <c r="I33" s="884"/>
      <c r="J33" s="259"/>
      <c r="K33" s="426"/>
      <c r="W33" s="42">
        <v>46</v>
      </c>
    </row>
    <row r="34" ht="11.55" customHeight="1" spans="6:23">
      <c r="F34" s="465" t="s">
        <v>337</v>
      </c>
      <c r="G34" s="878" t="s">
        <v>1061</v>
      </c>
      <c r="H34" s="488">
        <f t="shared" si="0"/>
        <v>0</v>
      </c>
      <c r="I34" s="884"/>
      <c r="J34" s="259"/>
      <c r="K34" s="426"/>
      <c r="W34" s="42">
        <v>11</v>
      </c>
    </row>
    <row r="35" ht="11.55" customHeight="1" spans="6:23">
      <c r="F35" s="465">
        <v>4</v>
      </c>
      <c r="G35" s="877" t="s">
        <v>1062</v>
      </c>
      <c r="H35" s="488">
        <f t="shared" si="0"/>
        <v>0</v>
      </c>
      <c r="I35" s="884"/>
      <c r="J35" s="259"/>
      <c r="K35" s="426"/>
      <c r="W35" s="42">
        <v>11</v>
      </c>
    </row>
    <row r="36" ht="11.55" customHeight="1" spans="6:23">
      <c r="F36" s="465"/>
      <c r="G36" s="876" t="s">
        <v>1063</v>
      </c>
      <c r="H36" s="488">
        <f t="shared" si="0"/>
        <v>0</v>
      </c>
      <c r="I36" s="488">
        <f>SUM(I15,I28,I32,I35)</f>
        <v>0</v>
      </c>
      <c r="J36" s="259"/>
      <c r="K36" s="426"/>
      <c r="W36" s="42">
        <v>11</v>
      </c>
    </row>
    <row r="37" ht="29.25" customHeight="1" spans="6:23">
      <c r="F37" s="259" t="s">
        <v>1064</v>
      </c>
      <c r="G37" s="879" t="s">
        <v>1065</v>
      </c>
      <c r="H37" s="879"/>
      <c r="I37" s="879"/>
      <c r="J37" s="879"/>
      <c r="K37" s="426"/>
      <c r="W37" s="42">
        <v>28</v>
      </c>
    </row>
    <row r="38" ht="24" customHeight="1" spans="6:23">
      <c r="F38" s="465" t="s">
        <v>111</v>
      </c>
      <c r="G38" s="877" t="s">
        <v>1066</v>
      </c>
      <c r="H38" s="488">
        <f t="shared" ref="H38:H58" si="1">SUM(I38:J38)</f>
        <v>0</v>
      </c>
      <c r="I38" s="488">
        <f>SUM(I39,I44,I47)</f>
        <v>0</v>
      </c>
      <c r="J38" s="259"/>
      <c r="K38" s="426"/>
      <c r="W38" s="42">
        <v>23</v>
      </c>
    </row>
    <row r="39" ht="11.55" customHeight="1" spans="6:23">
      <c r="F39" s="465" t="s">
        <v>1031</v>
      </c>
      <c r="G39" s="878" t="s">
        <v>1030</v>
      </c>
      <c r="H39" s="488">
        <f t="shared" si="1"/>
        <v>0</v>
      </c>
      <c r="I39" s="488">
        <f>SUM(I40:I43)</f>
        <v>0</v>
      </c>
      <c r="J39" s="259"/>
      <c r="K39" s="426"/>
      <c r="W39" s="42">
        <v>11</v>
      </c>
    </row>
    <row r="40" ht="24" customHeight="1" spans="6:23">
      <c r="F40" s="465" t="s">
        <v>1067</v>
      </c>
      <c r="G40" s="880" t="s">
        <v>1068</v>
      </c>
      <c r="H40" s="488">
        <f t="shared" si="1"/>
        <v>0</v>
      </c>
      <c r="I40" s="884"/>
      <c r="J40" s="259"/>
      <c r="K40" s="426"/>
      <c r="W40" s="42">
        <v>23</v>
      </c>
    </row>
    <row r="41" ht="11.55" customHeight="1" spans="6:23">
      <c r="F41" s="465" t="s">
        <v>1069</v>
      </c>
      <c r="G41" s="880" t="s">
        <v>1070</v>
      </c>
      <c r="H41" s="488">
        <f t="shared" si="1"/>
        <v>0</v>
      </c>
      <c r="I41" s="884"/>
      <c r="J41" s="259"/>
      <c r="K41" s="426"/>
      <c r="W41" s="42">
        <v>11</v>
      </c>
    </row>
    <row r="42" ht="11.55" customHeight="1" spans="6:23">
      <c r="F42" s="465" t="s">
        <v>1071</v>
      </c>
      <c r="G42" s="880" t="s">
        <v>1072</v>
      </c>
      <c r="H42" s="488">
        <f t="shared" si="1"/>
        <v>0</v>
      </c>
      <c r="I42" s="884"/>
      <c r="J42" s="259"/>
      <c r="K42" s="426"/>
      <c r="W42" s="42">
        <v>11</v>
      </c>
    </row>
    <row r="43" ht="35.7" customHeight="1" spans="6:23">
      <c r="F43" s="465" t="s">
        <v>1073</v>
      </c>
      <c r="G43" s="880" t="s">
        <v>1074</v>
      </c>
      <c r="H43" s="488">
        <f t="shared" si="1"/>
        <v>0</v>
      </c>
      <c r="I43" s="884"/>
      <c r="J43" s="259"/>
      <c r="K43" s="426"/>
      <c r="W43" s="42">
        <v>34</v>
      </c>
    </row>
    <row r="44" ht="11.55" customHeight="1" spans="6:23">
      <c r="F44" s="465" t="s">
        <v>1033</v>
      </c>
      <c r="G44" s="878" t="s">
        <v>1059</v>
      </c>
      <c r="H44" s="488">
        <f t="shared" si="1"/>
        <v>0</v>
      </c>
      <c r="I44" s="488">
        <f>SUM(I45:I46)</f>
        <v>0</v>
      </c>
      <c r="J44" s="259"/>
      <c r="K44" s="426"/>
      <c r="W44" s="42">
        <v>11</v>
      </c>
    </row>
    <row r="45" ht="48.3" customHeight="1" spans="6:23">
      <c r="F45" s="465" t="s">
        <v>1075</v>
      </c>
      <c r="G45" s="880" t="s">
        <v>1060</v>
      </c>
      <c r="H45" s="488">
        <f t="shared" si="1"/>
        <v>0</v>
      </c>
      <c r="I45" s="884"/>
      <c r="J45" s="259"/>
      <c r="K45" s="426"/>
      <c r="W45" s="42">
        <v>46</v>
      </c>
    </row>
    <row r="46" ht="11.55" customHeight="1" spans="6:23">
      <c r="F46" s="465" t="s">
        <v>1076</v>
      </c>
      <c r="G46" s="880" t="s">
        <v>1061</v>
      </c>
      <c r="H46" s="488">
        <f t="shared" si="1"/>
        <v>0</v>
      </c>
      <c r="I46" s="884"/>
      <c r="J46" s="259"/>
      <c r="K46" s="426"/>
      <c r="W46" s="42">
        <v>11</v>
      </c>
    </row>
    <row r="47" ht="11.55" customHeight="1" spans="6:23">
      <c r="F47" s="465" t="s">
        <v>1035</v>
      </c>
      <c r="G47" s="878" t="s">
        <v>1077</v>
      </c>
      <c r="H47" s="488">
        <f t="shared" si="1"/>
        <v>0</v>
      </c>
      <c r="I47" s="884"/>
      <c r="J47" s="259"/>
      <c r="K47" s="426"/>
      <c r="W47" s="42">
        <v>11</v>
      </c>
    </row>
    <row r="48" ht="24" customHeight="1" spans="6:23">
      <c r="F48" s="465" t="s">
        <v>112</v>
      </c>
      <c r="G48" s="877" t="s">
        <v>1078</v>
      </c>
      <c r="H48" s="488">
        <f t="shared" si="1"/>
        <v>0</v>
      </c>
      <c r="I48" s="488">
        <f>SUM(I49,I54,I57)</f>
        <v>0</v>
      </c>
      <c r="J48" s="259"/>
      <c r="K48" s="426"/>
      <c r="W48" s="42">
        <v>23</v>
      </c>
    </row>
    <row r="49" ht="11.55" customHeight="1" spans="6:23">
      <c r="F49" s="465" t="s">
        <v>718</v>
      </c>
      <c r="G49" s="878" t="s">
        <v>1030</v>
      </c>
      <c r="H49" s="488">
        <f t="shared" si="1"/>
        <v>0</v>
      </c>
      <c r="I49" s="488">
        <f>SUM(I50:I53)</f>
        <v>0</v>
      </c>
      <c r="J49" s="259"/>
      <c r="K49" s="426"/>
      <c r="W49" s="42">
        <v>11</v>
      </c>
    </row>
    <row r="50" ht="24" customHeight="1" spans="6:23">
      <c r="F50" s="465" t="s">
        <v>721</v>
      </c>
      <c r="G50" s="880" t="s">
        <v>1068</v>
      </c>
      <c r="H50" s="488">
        <f t="shared" si="1"/>
        <v>0</v>
      </c>
      <c r="I50" s="884"/>
      <c r="J50" s="259"/>
      <c r="K50" s="426"/>
      <c r="W50" s="42">
        <v>23</v>
      </c>
    </row>
    <row r="51" ht="11.55" customHeight="1" spans="6:23">
      <c r="F51" s="465" t="s">
        <v>724</v>
      </c>
      <c r="G51" s="880" t="s">
        <v>1070</v>
      </c>
      <c r="H51" s="488">
        <f t="shared" si="1"/>
        <v>0</v>
      </c>
      <c r="I51" s="884"/>
      <c r="J51" s="259"/>
      <c r="K51" s="426"/>
      <c r="W51" s="42">
        <v>11</v>
      </c>
    </row>
    <row r="52" ht="11.55" customHeight="1" spans="6:23">
      <c r="F52" s="465" t="s">
        <v>1079</v>
      </c>
      <c r="G52" s="880" t="s">
        <v>1072</v>
      </c>
      <c r="H52" s="488">
        <f t="shared" si="1"/>
        <v>0</v>
      </c>
      <c r="I52" s="884"/>
      <c r="J52" s="259"/>
      <c r="K52" s="426"/>
      <c r="W52" s="42">
        <v>11</v>
      </c>
    </row>
    <row r="53" ht="35.7" customHeight="1" spans="6:23">
      <c r="F53" s="465" t="s">
        <v>1080</v>
      </c>
      <c r="G53" s="880" t="s">
        <v>1074</v>
      </c>
      <c r="H53" s="488">
        <f t="shared" si="1"/>
        <v>0</v>
      </c>
      <c r="I53" s="884"/>
      <c r="J53" s="259"/>
      <c r="K53" s="426"/>
      <c r="W53" s="42">
        <v>34</v>
      </c>
    </row>
    <row r="54" ht="11.55" customHeight="1" spans="6:23">
      <c r="F54" s="465" t="s">
        <v>312</v>
      </c>
      <c r="G54" s="878" t="s">
        <v>1059</v>
      </c>
      <c r="H54" s="488">
        <f t="shared" si="1"/>
        <v>0</v>
      </c>
      <c r="I54" s="488">
        <f>SUM(I55:I56)</f>
        <v>0</v>
      </c>
      <c r="J54" s="259"/>
      <c r="K54" s="426"/>
      <c r="W54" s="42">
        <v>11</v>
      </c>
    </row>
    <row r="55" ht="48.3" customHeight="1" spans="6:23">
      <c r="F55" s="465" t="s">
        <v>728</v>
      </c>
      <c r="G55" s="880" t="s">
        <v>1060</v>
      </c>
      <c r="H55" s="488">
        <f t="shared" si="1"/>
        <v>0</v>
      </c>
      <c r="I55" s="884"/>
      <c r="J55" s="259"/>
      <c r="K55" s="426"/>
      <c r="W55" s="42">
        <v>46</v>
      </c>
    </row>
    <row r="56" ht="11.55" customHeight="1" spans="6:23">
      <c r="F56" s="465" t="s">
        <v>730</v>
      </c>
      <c r="G56" s="880" t="s">
        <v>1061</v>
      </c>
      <c r="H56" s="488">
        <f t="shared" si="1"/>
        <v>0</v>
      </c>
      <c r="I56" s="884"/>
      <c r="J56" s="259"/>
      <c r="K56" s="426"/>
      <c r="W56" s="42">
        <v>11</v>
      </c>
    </row>
    <row r="57" ht="11.55" customHeight="1" spans="6:23">
      <c r="F57" s="465" t="s">
        <v>315</v>
      </c>
      <c r="G57" s="878" t="s">
        <v>1077</v>
      </c>
      <c r="H57" s="488">
        <f t="shared" si="1"/>
        <v>0</v>
      </c>
      <c r="I57" s="884"/>
      <c r="J57" s="259"/>
      <c r="K57" s="426"/>
      <c r="W57" s="42">
        <v>11</v>
      </c>
    </row>
    <row r="58" ht="11.55" customHeight="1" spans="6:23">
      <c r="F58" s="465"/>
      <c r="G58" s="879" t="s">
        <v>1063</v>
      </c>
      <c r="H58" s="488">
        <f t="shared" si="1"/>
        <v>0</v>
      </c>
      <c r="I58" s="488">
        <f>SUM(I38,I48)</f>
        <v>0</v>
      </c>
      <c r="J58" s="259"/>
      <c r="K58" s="426"/>
      <c r="W58" s="42">
        <v>11</v>
      </c>
    </row>
    <row r="59" hidden="1" customHeight="1" spans="1:23">
      <c r="A59" s="296" t="s">
        <v>83</v>
      </c>
      <c r="B59" s="296">
        <v>0</v>
      </c>
      <c r="C59" s="296">
        <v>0</v>
      </c>
      <c r="D59" s="37">
        <v>0</v>
      </c>
      <c r="E59" s="42">
        <v>3</v>
      </c>
      <c r="F59" s="42">
        <v>6</v>
      </c>
      <c r="G59" s="42">
        <v>60</v>
      </c>
      <c r="H59" s="42">
        <v>0</v>
      </c>
      <c r="I59" s="42">
        <v>0</v>
      </c>
      <c r="J59" s="42">
        <v>0</v>
      </c>
      <c r="K59" s="42">
        <v>1</v>
      </c>
      <c r="L59" s="42">
        <v>8</v>
      </c>
      <c r="M59" s="42">
        <v>8</v>
      </c>
      <c r="N59" s="42">
        <v>8</v>
      </c>
      <c r="O59" s="42">
        <v>8</v>
      </c>
      <c r="P59" s="42">
        <v>8</v>
      </c>
      <c r="Q59" s="42">
        <v>8</v>
      </c>
      <c r="R59" s="42">
        <v>8</v>
      </c>
      <c r="S59" s="42">
        <v>8</v>
      </c>
      <c r="T59" s="42">
        <v>8</v>
      </c>
      <c r="U59" s="42">
        <v>8</v>
      </c>
      <c r="V59" s="42">
        <v>8</v>
      </c>
      <c r="W59" s="42">
        <v>10</v>
      </c>
    </row>
  </sheetData>
  <sheetProtection formatColumns="0" formatRows="0" insertRows="0" deleteColumns="0" deleteRows="0" sort="0" autoFilter="0"/>
  <mergeCells count="9">
    <mergeCell ref="F5:J5"/>
    <mergeCell ref="F6:J6"/>
    <mergeCell ref="F9:J9"/>
    <mergeCell ref="H10:J10"/>
    <mergeCell ref="H11:J11"/>
    <mergeCell ref="G14:J14"/>
    <mergeCell ref="G37:J37"/>
    <mergeCell ref="F10:F12"/>
    <mergeCell ref="G10:G12"/>
  </mergeCells>
  <dataValidations count="1">
    <dataValidation type="decimal" operator="between" allowBlank="1" showErrorMessage="1" errorTitle="Ошибка" error="Допускается ввод только неотрицательных чисел!" sqref="I16:I27 I29:I31 I33:I35 I40:I43 I45:I47 I50:I53 I55:I57">
      <formula1>0</formula1>
      <formula2>9.99999999999999E+23</formula2>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5"/>
  </sheetPr>
  <dimension ref="A1:GC25"/>
  <sheetViews>
    <sheetView showGridLines="0" zoomScale="90" zoomScaleNormal="90" workbookViewId="0">
      <pane xSplit="14" ySplit="17" topLeftCell="O18" activePane="bottomRight" state="frozen"/>
      <selection/>
      <selection pane="topRight"/>
      <selection pane="bottomLeft"/>
      <selection pane="bottomRight" activeCell="A1" sqref="A1"/>
    </sheetView>
  </sheetViews>
  <sheetFormatPr defaultColWidth="9.14285714285714" defaultRowHeight="12" customHeight="1"/>
  <cols>
    <col min="1" max="1" width="4.71428571428571" style="826" hidden="1" customWidth="1"/>
    <col min="2" max="2" width="4.71428571428571" style="827" hidden="1" customWidth="1"/>
    <col min="3" max="4" width="4.71428571428571" style="826" hidden="1" customWidth="1"/>
    <col min="5" max="5" width="3" style="826" customWidth="1"/>
    <col min="6" max="6" width="6" style="826" customWidth="1"/>
    <col min="7" max="7" width="18" style="826" customWidth="1"/>
    <col min="8" max="8" width="27" style="826" customWidth="1"/>
    <col min="9" max="9" width="18" style="826" customWidth="1"/>
    <col min="10" max="14" width="0.847619047619048" style="826" hidden="1" customWidth="1"/>
    <col min="15" max="28" width="21.7142857142857" style="826" hidden="1" customWidth="1"/>
    <col min="29" max="71" width="0.847619047619048" style="826" hidden="1" customWidth="1"/>
    <col min="72" max="79" width="21.7142857142857" style="826" customWidth="1"/>
    <col min="80" max="81" width="29.1428571428571" style="826" customWidth="1"/>
    <col min="82" max="89" width="21.7142857142857" style="826" customWidth="1"/>
    <col min="90" max="102" width="0.714285714285714" style="826" customWidth="1"/>
    <col min="103" max="114" width="21.7142857142857" style="826" hidden="1" customWidth="1"/>
    <col min="115" max="178" width="0.714285714285714" style="826" hidden="1" customWidth="1"/>
    <col min="179" max="179" width="0.142857142857143" style="826" customWidth="1"/>
    <col min="180" max="184" width="8" style="826" customWidth="1"/>
    <col min="185" max="185" width="9.14285714285714" style="826" hidden="1"/>
  </cols>
  <sheetData>
    <row r="1" s="208" customFormat="1" hidden="1" customHeight="1" spans="2:185">
      <c r="B1" s="314"/>
      <c r="GC1" s="208" t="s">
        <v>14</v>
      </c>
    </row>
    <row r="2" s="208" customFormat="1" hidden="1" customHeight="1" spans="2:185">
      <c r="B2" s="314"/>
      <c r="GC2" s="208">
        <v>0</v>
      </c>
    </row>
    <row r="3" s="208" customFormat="1" hidden="1" customHeight="1" spans="2:185">
      <c r="B3" s="314"/>
      <c r="GC3" s="208">
        <v>0</v>
      </c>
    </row>
    <row r="4" ht="10.5" customHeight="1" spans="8:185">
      <c r="H4" s="437"/>
      <c r="I4" s="437"/>
      <c r="J4" s="437"/>
      <c r="K4" s="437"/>
      <c r="L4" s="437"/>
      <c r="GC4" s="826">
        <v>10</v>
      </c>
    </row>
    <row r="5" s="824" customFormat="1" ht="27.3" customHeight="1" spans="2:185">
      <c r="B5" s="828"/>
      <c r="E5" s="829"/>
      <c r="F5" s="63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580"/>
      <c r="H5" s="580"/>
      <c r="I5" s="580"/>
      <c r="J5" s="580"/>
      <c r="K5" s="580"/>
      <c r="L5" s="580"/>
      <c r="M5" s="580"/>
      <c r="N5" s="580"/>
      <c r="O5" s="580"/>
      <c r="P5" s="580"/>
      <c r="Q5" s="580"/>
      <c r="R5" s="580"/>
      <c r="S5" s="580"/>
      <c r="T5" s="580"/>
      <c r="U5" s="580"/>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c r="AT5" s="580"/>
      <c r="AU5" s="580"/>
      <c r="AV5" s="580"/>
      <c r="AW5" s="580"/>
      <c r="AX5" s="580"/>
      <c r="AY5" s="580"/>
      <c r="AZ5" s="580"/>
      <c r="BA5" s="580"/>
      <c r="BB5" s="580"/>
      <c r="BC5" s="580"/>
      <c r="BD5" s="580"/>
      <c r="BE5" s="580"/>
      <c r="BF5" s="580"/>
      <c r="BG5" s="580"/>
      <c r="BH5" s="580"/>
      <c r="BI5" s="580"/>
      <c r="BJ5" s="580"/>
      <c r="BK5" s="580"/>
      <c r="BL5" s="580"/>
      <c r="BM5" s="580"/>
      <c r="BN5" s="580"/>
      <c r="BO5" s="580"/>
      <c r="BP5" s="580"/>
      <c r="BQ5" s="580"/>
      <c r="BR5" s="580"/>
      <c r="BS5" s="580"/>
      <c r="GC5" s="824">
        <v>26</v>
      </c>
    </row>
    <row r="6" s="519" customFormat="1" ht="18.75" customHeight="1" spans="2:185">
      <c r="B6" s="830"/>
      <c r="E6" s="239"/>
      <c r="F6" s="770" t="str">
        <f>IF(org=0,"Не определено",org)</f>
        <v>АО "ОЭЗ ППТ "Алабуга"</v>
      </c>
      <c r="G6" s="621"/>
      <c r="H6" s="621"/>
      <c r="I6" s="621"/>
      <c r="J6" s="621"/>
      <c r="K6" s="621"/>
      <c r="L6" s="621"/>
      <c r="M6" s="621"/>
      <c r="N6" s="621"/>
      <c r="O6" s="621"/>
      <c r="P6" s="621"/>
      <c r="Q6" s="621"/>
      <c r="R6" s="621"/>
      <c r="S6" s="621"/>
      <c r="T6" s="621"/>
      <c r="U6" s="621"/>
      <c r="V6" s="621"/>
      <c r="W6" s="621"/>
      <c r="X6" s="621"/>
      <c r="Y6" s="621"/>
      <c r="Z6" s="621"/>
      <c r="AA6" s="621"/>
      <c r="AB6" s="621"/>
      <c r="AC6" s="621"/>
      <c r="AD6" s="621"/>
      <c r="AE6" s="621"/>
      <c r="AF6" s="621"/>
      <c r="AG6" s="621"/>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1"/>
      <c r="BK6" s="621"/>
      <c r="BL6" s="621"/>
      <c r="BM6" s="621"/>
      <c r="BN6" s="621"/>
      <c r="BO6" s="621"/>
      <c r="BP6" s="621"/>
      <c r="BQ6" s="621"/>
      <c r="BR6" s="621"/>
      <c r="BS6" s="621"/>
      <c r="GC6" s="519">
        <v>18</v>
      </c>
    </row>
    <row r="7" s="825" customFormat="1" ht="10.5" customHeight="1" spans="2:185">
      <c r="B7" s="831"/>
      <c r="G7" s="832"/>
      <c r="H7" s="437"/>
      <c r="I7" s="437"/>
      <c r="J7" s="437"/>
      <c r="K7" s="437"/>
      <c r="L7" s="437"/>
      <c r="GC7" s="825">
        <v>10</v>
      </c>
    </row>
    <row r="8" s="825" customFormat="1" ht="11.25" hidden="1" customHeight="1" spans="2:185">
      <c r="B8" s="831"/>
      <c r="F8" s="519"/>
      <c r="G8" s="85"/>
      <c r="H8" s="80"/>
      <c r="I8" s="80"/>
      <c r="J8" s="80"/>
      <c r="K8" s="80"/>
      <c r="L8" s="80"/>
      <c r="M8" s="519"/>
      <c r="N8" s="519"/>
      <c r="O8" s="840" t="s">
        <v>1081</v>
      </c>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1"/>
      <c r="AU8" s="841"/>
      <c r="AV8" s="841"/>
      <c r="AW8" s="841"/>
      <c r="AX8" s="841"/>
      <c r="AY8" s="841"/>
      <c r="AZ8" s="841"/>
      <c r="BA8" s="841"/>
      <c r="BB8" s="841"/>
      <c r="BC8" s="841"/>
      <c r="BD8" s="841"/>
      <c r="BE8" s="841"/>
      <c r="BF8" s="841"/>
      <c r="BG8" s="841"/>
      <c r="BH8" s="841"/>
      <c r="BI8" s="841"/>
      <c r="BJ8" s="841"/>
      <c r="BK8" s="841"/>
      <c r="BL8" s="841"/>
      <c r="BM8" s="841"/>
      <c r="BN8" s="841"/>
      <c r="BO8" s="841"/>
      <c r="BP8" s="841"/>
      <c r="BQ8" s="841"/>
      <c r="BR8" s="841"/>
      <c r="BS8" s="853"/>
      <c r="BT8" s="854"/>
      <c r="BU8" s="858"/>
      <c r="BV8" s="858"/>
      <c r="BW8" s="858"/>
      <c r="BX8" s="858"/>
      <c r="BY8" s="858"/>
      <c r="BZ8" s="858"/>
      <c r="CA8" s="858"/>
      <c r="CB8" s="858"/>
      <c r="CC8" s="858"/>
      <c r="CD8" s="858"/>
      <c r="CE8" s="858"/>
      <c r="CF8" s="858"/>
      <c r="CG8" s="858"/>
      <c r="CH8" s="858"/>
      <c r="CI8" s="858"/>
      <c r="CJ8" s="858"/>
      <c r="CK8" s="858"/>
      <c r="CL8" s="858"/>
      <c r="CM8" s="858"/>
      <c r="CN8" s="858"/>
      <c r="CO8" s="858"/>
      <c r="CP8" s="858"/>
      <c r="CQ8" s="858"/>
      <c r="CR8" s="858"/>
      <c r="CS8" s="858"/>
      <c r="CT8" s="858"/>
      <c r="CU8" s="858"/>
      <c r="CV8" s="858"/>
      <c r="CW8" s="858"/>
      <c r="CX8" s="860"/>
      <c r="CY8" s="861"/>
      <c r="CZ8" s="862"/>
      <c r="DA8" s="862"/>
      <c r="DB8" s="862"/>
      <c r="DC8" s="862"/>
      <c r="DD8" s="862"/>
      <c r="DE8" s="862"/>
      <c r="DF8" s="862"/>
      <c r="DG8" s="862"/>
      <c r="DH8" s="862"/>
      <c r="DI8" s="862"/>
      <c r="DJ8" s="862"/>
      <c r="DK8" s="862"/>
      <c r="DL8" s="862"/>
      <c r="DM8" s="862"/>
      <c r="DN8" s="862"/>
      <c r="DO8" s="862"/>
      <c r="DP8" s="862"/>
      <c r="DQ8" s="862"/>
      <c r="DR8" s="862"/>
      <c r="DS8" s="862"/>
      <c r="DT8" s="862"/>
      <c r="DU8" s="862"/>
      <c r="DV8" s="862"/>
      <c r="DW8" s="862"/>
      <c r="DX8" s="863"/>
      <c r="DY8" s="864" t="s">
        <v>1082</v>
      </c>
      <c r="DZ8" s="865"/>
      <c r="EA8" s="865"/>
      <c r="EB8" s="865"/>
      <c r="EC8" s="865"/>
      <c r="ED8" s="865"/>
      <c r="EE8" s="865"/>
      <c r="EF8" s="865"/>
      <c r="EG8" s="865"/>
      <c r="EH8" s="865"/>
      <c r="EI8" s="865"/>
      <c r="EJ8" s="865"/>
      <c r="EK8" s="865"/>
      <c r="EL8" s="865"/>
      <c r="EM8" s="865"/>
      <c r="EN8" s="865"/>
      <c r="EO8" s="865"/>
      <c r="EP8" s="865"/>
      <c r="EQ8" s="865"/>
      <c r="ER8" s="865"/>
      <c r="ES8" s="865"/>
      <c r="ET8" s="865"/>
      <c r="EU8" s="865"/>
      <c r="EV8" s="865"/>
      <c r="EW8" s="865"/>
      <c r="EX8" s="865"/>
      <c r="EY8" s="865"/>
      <c r="EZ8" s="865"/>
      <c r="FA8" s="865"/>
      <c r="FB8" s="865"/>
      <c r="FC8" s="865"/>
      <c r="FD8" s="865"/>
      <c r="FE8" s="865"/>
      <c r="FF8" s="865"/>
      <c r="FG8" s="865"/>
      <c r="FH8" s="865"/>
      <c r="FI8" s="865"/>
      <c r="FJ8" s="865"/>
      <c r="FK8" s="865"/>
      <c r="FL8" s="865"/>
      <c r="FM8" s="865"/>
      <c r="FN8" s="865"/>
      <c r="FO8" s="865"/>
      <c r="FP8" s="865"/>
      <c r="FQ8" s="865"/>
      <c r="FR8" s="865"/>
      <c r="FS8" s="865"/>
      <c r="FT8" s="865"/>
      <c r="FU8" s="865"/>
      <c r="FV8" s="865"/>
      <c r="FW8" s="866"/>
      <c r="FX8" s="519"/>
      <c r="GC8" s="825">
        <v>0</v>
      </c>
    </row>
    <row r="9" s="825" customFormat="1" ht="11.25" hidden="1" customHeight="1" spans="2:185">
      <c r="B9" s="831"/>
      <c r="F9" s="519"/>
      <c r="G9" s="85"/>
      <c r="H9" s="80"/>
      <c r="I9" s="80"/>
      <c r="J9" s="80"/>
      <c r="K9" s="80"/>
      <c r="L9" s="80"/>
      <c r="M9" s="519"/>
      <c r="N9" s="519"/>
      <c r="O9" s="519"/>
      <c r="P9" s="519"/>
      <c r="Q9" s="519"/>
      <c r="R9" s="519"/>
      <c r="S9" s="519"/>
      <c r="T9" s="519"/>
      <c r="U9" s="519"/>
      <c r="V9" s="519"/>
      <c r="W9" s="519"/>
      <c r="X9" s="519"/>
      <c r="Y9" s="519"/>
      <c r="Z9" s="519"/>
      <c r="AA9" s="519"/>
      <c r="AB9" s="519"/>
      <c r="AC9" s="519"/>
      <c r="AD9" s="519"/>
      <c r="AE9" s="519"/>
      <c r="AF9" s="519"/>
      <c r="AG9" s="519"/>
      <c r="AH9" s="519"/>
      <c r="AI9" s="519"/>
      <c r="AJ9" s="519"/>
      <c r="AK9" s="519"/>
      <c r="AL9" s="519"/>
      <c r="AM9" s="519"/>
      <c r="AN9" s="519"/>
      <c r="AO9" s="519"/>
      <c r="AP9" s="519"/>
      <c r="AQ9" s="519"/>
      <c r="AR9" s="519"/>
      <c r="AS9" s="519"/>
      <c r="AT9" s="519"/>
      <c r="AU9" s="519"/>
      <c r="AV9" s="519"/>
      <c r="AW9" s="519"/>
      <c r="AX9" s="519"/>
      <c r="AY9" s="519"/>
      <c r="AZ9" s="519"/>
      <c r="BA9" s="519"/>
      <c r="BB9" s="519"/>
      <c r="BC9" s="519"/>
      <c r="BD9" s="519"/>
      <c r="BE9" s="519"/>
      <c r="BF9" s="519"/>
      <c r="BG9" s="519"/>
      <c r="BH9" s="519"/>
      <c r="BI9" s="519"/>
      <c r="BJ9" s="519"/>
      <c r="BK9" s="519"/>
      <c r="BL9" s="519"/>
      <c r="BM9" s="519"/>
      <c r="BN9" s="519"/>
      <c r="BO9" s="519"/>
      <c r="BP9" s="519"/>
      <c r="BQ9" s="519"/>
      <c r="BR9" s="519"/>
      <c r="BS9" s="519"/>
      <c r="BT9" s="519"/>
      <c r="BU9" s="519"/>
      <c r="BV9" s="519"/>
      <c r="BW9" s="519"/>
      <c r="BX9" s="519"/>
      <c r="BY9" s="519"/>
      <c r="BZ9" s="519"/>
      <c r="CA9" s="519"/>
      <c r="CB9" s="519"/>
      <c r="CC9" s="519"/>
      <c r="CD9" s="519"/>
      <c r="CE9" s="519"/>
      <c r="CF9" s="519"/>
      <c r="CG9" s="519"/>
      <c r="CH9" s="519"/>
      <c r="CI9" s="519"/>
      <c r="CJ9" s="519"/>
      <c r="CK9" s="519"/>
      <c r="CL9" s="519"/>
      <c r="CM9" s="519"/>
      <c r="CN9" s="519"/>
      <c r="CO9" s="519"/>
      <c r="CP9" s="519"/>
      <c r="CQ9" s="519"/>
      <c r="CR9" s="519"/>
      <c r="CS9" s="519"/>
      <c r="CT9" s="519"/>
      <c r="CU9" s="519"/>
      <c r="CV9" s="519"/>
      <c r="CW9" s="519"/>
      <c r="CX9" s="519"/>
      <c r="CY9" s="519"/>
      <c r="CZ9" s="519"/>
      <c r="DA9" s="519"/>
      <c r="DB9" s="519"/>
      <c r="DC9" s="519"/>
      <c r="DD9" s="519"/>
      <c r="DE9" s="519"/>
      <c r="DF9" s="519"/>
      <c r="DG9" s="519"/>
      <c r="DH9" s="519"/>
      <c r="DI9" s="519"/>
      <c r="DJ9" s="519"/>
      <c r="DK9" s="519"/>
      <c r="DL9" s="519"/>
      <c r="DM9" s="519"/>
      <c r="DN9" s="519"/>
      <c r="DO9" s="519"/>
      <c r="DP9" s="519"/>
      <c r="DQ9" s="519"/>
      <c r="DR9" s="519"/>
      <c r="DS9" s="519"/>
      <c r="DT9" s="519"/>
      <c r="DU9" s="519"/>
      <c r="DV9" s="519"/>
      <c r="DW9" s="519"/>
      <c r="DX9" s="519"/>
      <c r="DY9" s="519"/>
      <c r="DZ9" s="519"/>
      <c r="EA9" s="519"/>
      <c r="EB9" s="519"/>
      <c r="EC9" s="519"/>
      <c r="ED9" s="519"/>
      <c r="EE9" s="519"/>
      <c r="EF9" s="519"/>
      <c r="EG9" s="519"/>
      <c r="EH9" s="519"/>
      <c r="EI9" s="519"/>
      <c r="EJ9" s="519"/>
      <c r="EK9" s="519"/>
      <c r="EL9" s="519"/>
      <c r="EM9" s="519"/>
      <c r="EN9" s="519"/>
      <c r="EO9" s="519"/>
      <c r="EP9" s="519"/>
      <c r="EQ9" s="519"/>
      <c r="ER9" s="519"/>
      <c r="ES9" s="519"/>
      <c r="ET9" s="519"/>
      <c r="EU9" s="519"/>
      <c r="EV9" s="519"/>
      <c r="EW9" s="519"/>
      <c r="EX9" s="519"/>
      <c r="EY9" s="519"/>
      <c r="EZ9" s="519"/>
      <c r="FA9" s="519"/>
      <c r="FB9" s="519"/>
      <c r="FC9" s="519"/>
      <c r="FD9" s="519"/>
      <c r="FE9" s="519"/>
      <c r="FF9" s="519"/>
      <c r="FG9" s="519"/>
      <c r="FH9" s="519"/>
      <c r="FI9" s="519"/>
      <c r="FJ9" s="519"/>
      <c r="FK9" s="519"/>
      <c r="FL9" s="519"/>
      <c r="FM9" s="519"/>
      <c r="FN9" s="519"/>
      <c r="FO9" s="519"/>
      <c r="FP9" s="519"/>
      <c r="FQ9" s="519"/>
      <c r="FR9" s="519"/>
      <c r="FS9" s="519"/>
      <c r="FT9" s="519"/>
      <c r="FU9" s="519"/>
      <c r="FV9" s="519"/>
      <c r="FW9" s="867"/>
      <c r="FX9" s="519"/>
      <c r="GC9" s="825">
        <v>0</v>
      </c>
    </row>
    <row r="10" s="825" customFormat="1" ht="11.55" customHeight="1" spans="2:185">
      <c r="B10" s="831"/>
      <c r="F10" s="833" t="s">
        <v>305</v>
      </c>
      <c r="G10" s="834"/>
      <c r="H10" s="834"/>
      <c r="I10" s="834"/>
      <c r="J10" s="834"/>
      <c r="K10" s="834"/>
      <c r="L10" s="834"/>
      <c r="M10" s="834"/>
      <c r="N10" s="834"/>
      <c r="O10" s="834"/>
      <c r="P10" s="834"/>
      <c r="Q10" s="834"/>
      <c r="R10" s="834"/>
      <c r="S10" s="834"/>
      <c r="T10" s="834"/>
      <c r="U10" s="834"/>
      <c r="V10" s="834"/>
      <c r="W10" s="834"/>
      <c r="X10" s="834"/>
      <c r="Y10" s="834"/>
      <c r="Z10" s="834"/>
      <c r="AA10" s="834"/>
      <c r="AB10" s="834"/>
      <c r="AC10" s="834"/>
      <c r="AD10" s="834"/>
      <c r="AE10" s="834"/>
      <c r="AF10" s="834"/>
      <c r="AG10" s="834"/>
      <c r="AH10" s="834"/>
      <c r="AI10" s="834"/>
      <c r="AJ10" s="834"/>
      <c r="AK10" s="834"/>
      <c r="AL10" s="834"/>
      <c r="AM10" s="834"/>
      <c r="AN10" s="834"/>
      <c r="AO10" s="834"/>
      <c r="AP10" s="834"/>
      <c r="AQ10" s="834"/>
      <c r="AR10" s="834"/>
      <c r="AS10" s="834"/>
      <c r="AT10" s="834"/>
      <c r="AU10" s="834"/>
      <c r="AV10" s="834"/>
      <c r="AW10" s="834"/>
      <c r="AX10" s="834"/>
      <c r="AY10" s="834"/>
      <c r="AZ10" s="834"/>
      <c r="BA10" s="834"/>
      <c r="BB10" s="834"/>
      <c r="BC10" s="834"/>
      <c r="BD10" s="834"/>
      <c r="BE10" s="834"/>
      <c r="BF10" s="834"/>
      <c r="BG10" s="834"/>
      <c r="BH10" s="834"/>
      <c r="BI10" s="834"/>
      <c r="BJ10" s="834"/>
      <c r="BK10" s="834"/>
      <c r="BL10" s="834"/>
      <c r="BM10" s="834"/>
      <c r="BN10" s="834"/>
      <c r="BO10" s="834"/>
      <c r="BP10" s="834"/>
      <c r="BQ10" s="834"/>
      <c r="BR10" s="834"/>
      <c r="BS10" s="834"/>
      <c r="BT10" s="834"/>
      <c r="BU10" s="834"/>
      <c r="BV10" s="834"/>
      <c r="BW10" s="834"/>
      <c r="BX10" s="834"/>
      <c r="BY10" s="834"/>
      <c r="BZ10" s="834"/>
      <c r="CA10" s="834"/>
      <c r="CB10" s="834"/>
      <c r="CC10" s="834"/>
      <c r="CD10" s="834"/>
      <c r="CE10" s="834"/>
      <c r="CF10" s="834"/>
      <c r="CG10" s="834"/>
      <c r="CH10" s="834"/>
      <c r="CI10" s="834"/>
      <c r="CJ10" s="834"/>
      <c r="CK10" s="834"/>
      <c r="CL10" s="834"/>
      <c r="CM10" s="834"/>
      <c r="CN10" s="834"/>
      <c r="CO10" s="834"/>
      <c r="CP10" s="834"/>
      <c r="CQ10" s="834"/>
      <c r="CR10" s="834"/>
      <c r="CS10" s="834"/>
      <c r="CT10" s="834"/>
      <c r="CU10" s="834"/>
      <c r="CV10" s="834"/>
      <c r="CW10" s="834"/>
      <c r="CX10" s="834"/>
      <c r="CY10" s="834"/>
      <c r="CZ10" s="834"/>
      <c r="DA10" s="834"/>
      <c r="DB10" s="834"/>
      <c r="DC10" s="834"/>
      <c r="DD10" s="834"/>
      <c r="DE10" s="834"/>
      <c r="DF10" s="834"/>
      <c r="DG10" s="834"/>
      <c r="DH10" s="834"/>
      <c r="DI10" s="834"/>
      <c r="DJ10" s="834"/>
      <c r="DK10" s="834"/>
      <c r="DL10" s="834"/>
      <c r="DM10" s="834"/>
      <c r="DN10" s="834"/>
      <c r="DO10" s="834"/>
      <c r="DP10" s="834"/>
      <c r="DQ10" s="834"/>
      <c r="DR10" s="834"/>
      <c r="DS10" s="834"/>
      <c r="DT10" s="834"/>
      <c r="DU10" s="834"/>
      <c r="DV10" s="834"/>
      <c r="DW10" s="834"/>
      <c r="DX10" s="834"/>
      <c r="DY10" s="834"/>
      <c r="DZ10" s="834"/>
      <c r="EA10" s="834"/>
      <c r="EB10" s="834"/>
      <c r="EC10" s="834"/>
      <c r="ED10" s="834"/>
      <c r="EE10" s="834"/>
      <c r="EF10" s="834"/>
      <c r="EG10" s="834"/>
      <c r="EH10" s="834"/>
      <c r="EI10" s="834"/>
      <c r="EJ10" s="834"/>
      <c r="EK10" s="834"/>
      <c r="EL10" s="834"/>
      <c r="EM10" s="834"/>
      <c r="EN10" s="834"/>
      <c r="EO10" s="834"/>
      <c r="EP10" s="834"/>
      <c r="EQ10" s="834"/>
      <c r="ER10" s="834"/>
      <c r="ES10" s="834"/>
      <c r="ET10" s="834"/>
      <c r="EU10" s="834"/>
      <c r="EV10" s="834"/>
      <c r="EW10" s="834"/>
      <c r="EX10" s="834"/>
      <c r="EY10" s="834"/>
      <c r="EZ10" s="834"/>
      <c r="FA10" s="834"/>
      <c r="FB10" s="834"/>
      <c r="FC10" s="834"/>
      <c r="FD10" s="834"/>
      <c r="FE10" s="834"/>
      <c r="FF10" s="834"/>
      <c r="FG10" s="834"/>
      <c r="FH10" s="834"/>
      <c r="FI10" s="834"/>
      <c r="FJ10" s="834"/>
      <c r="FK10" s="834"/>
      <c r="FL10" s="834"/>
      <c r="FM10" s="834"/>
      <c r="FN10" s="834"/>
      <c r="FO10" s="834"/>
      <c r="FP10" s="834"/>
      <c r="FQ10" s="834"/>
      <c r="FR10" s="834"/>
      <c r="FS10" s="834"/>
      <c r="FT10" s="834"/>
      <c r="FU10" s="834"/>
      <c r="FV10" s="277"/>
      <c r="FW10" s="867"/>
      <c r="FX10" s="519"/>
      <c r="GC10" s="825">
        <v>11</v>
      </c>
    </row>
    <row r="11" ht="12.75" customHeight="1" spans="5:185">
      <c r="E11" s="835"/>
      <c r="F11" s="661" t="s">
        <v>89</v>
      </c>
      <c r="G11" s="661" t="s">
        <v>1083</v>
      </c>
      <c r="H11" s="661" t="s">
        <v>1084</v>
      </c>
      <c r="I11" s="661" t="s">
        <v>1085</v>
      </c>
      <c r="J11" s="842"/>
      <c r="K11" s="842"/>
      <c r="L11" s="842"/>
      <c r="M11" s="842"/>
      <c r="N11" s="842"/>
      <c r="O11" s="65" t="s">
        <v>1086</v>
      </c>
      <c r="P11" s="65"/>
      <c r="Q11" s="65"/>
      <c r="R11" s="65"/>
      <c r="S11" s="65"/>
      <c r="T11" s="65"/>
      <c r="U11" s="65"/>
      <c r="V11" s="65"/>
      <c r="W11" s="65"/>
      <c r="X11" s="65"/>
      <c r="Y11" s="65"/>
      <c r="Z11" s="65"/>
      <c r="AA11" s="65"/>
      <c r="AB11" s="65"/>
      <c r="AC11" s="852"/>
      <c r="AD11" s="852"/>
      <c r="AE11" s="852"/>
      <c r="AF11" s="852"/>
      <c r="AG11" s="852"/>
      <c r="AH11" s="852"/>
      <c r="AI11" s="852"/>
      <c r="AJ11" s="852"/>
      <c r="AK11" s="852"/>
      <c r="AL11" s="852"/>
      <c r="AM11" s="852"/>
      <c r="AN11" s="852"/>
      <c r="AO11" s="852"/>
      <c r="AP11" s="852"/>
      <c r="AQ11" s="852"/>
      <c r="AR11" s="852"/>
      <c r="AS11" s="852"/>
      <c r="AT11" s="852"/>
      <c r="AU11" s="852"/>
      <c r="AV11" s="852"/>
      <c r="AW11" s="852"/>
      <c r="AX11" s="852"/>
      <c r="AY11" s="852"/>
      <c r="AZ11" s="852"/>
      <c r="BA11" s="852"/>
      <c r="BB11" s="852"/>
      <c r="BC11" s="852"/>
      <c r="BD11" s="852"/>
      <c r="BE11" s="852"/>
      <c r="BF11" s="852"/>
      <c r="BG11" s="852"/>
      <c r="BH11" s="852"/>
      <c r="BI11" s="852"/>
      <c r="BJ11" s="852"/>
      <c r="BK11" s="852"/>
      <c r="BL11" s="852"/>
      <c r="BM11" s="852"/>
      <c r="BN11" s="852"/>
      <c r="BO11" s="852"/>
      <c r="BP11" s="852"/>
      <c r="BQ11" s="852"/>
      <c r="BR11" s="852"/>
      <c r="BS11" s="855"/>
      <c r="BT11" s="256" t="s">
        <v>1086</v>
      </c>
      <c r="BU11" s="802"/>
      <c r="BV11" s="802"/>
      <c r="BW11" s="802"/>
      <c r="BX11" s="802"/>
      <c r="BY11" s="802"/>
      <c r="BZ11" s="802"/>
      <c r="CA11" s="802"/>
      <c r="CB11" s="802"/>
      <c r="CC11" s="802"/>
      <c r="CD11" s="802"/>
      <c r="CE11" s="802"/>
      <c r="CF11" s="802"/>
      <c r="CG11" s="802"/>
      <c r="CH11" s="802"/>
      <c r="CI11" s="802"/>
      <c r="CJ11" s="802"/>
      <c r="CK11" s="803"/>
      <c r="CL11" s="859"/>
      <c r="CM11" s="852"/>
      <c r="CN11" s="852"/>
      <c r="CO11" s="852"/>
      <c r="CP11" s="852"/>
      <c r="CQ11" s="852"/>
      <c r="CR11" s="852"/>
      <c r="CS11" s="852"/>
      <c r="CT11" s="852"/>
      <c r="CU11" s="852"/>
      <c r="CV11" s="852"/>
      <c r="CW11" s="852"/>
      <c r="CX11" s="855"/>
      <c r="CY11" s="256" t="s">
        <v>1086</v>
      </c>
      <c r="CZ11" s="802"/>
      <c r="DA11" s="802"/>
      <c r="DB11" s="802"/>
      <c r="DC11" s="802"/>
      <c r="DD11" s="802"/>
      <c r="DE11" s="802"/>
      <c r="DF11" s="802"/>
      <c r="DG11" s="802"/>
      <c r="DH11" s="802"/>
      <c r="DI11" s="802"/>
      <c r="DJ11" s="803"/>
      <c r="DK11" s="859"/>
      <c r="DL11" s="852"/>
      <c r="DM11" s="852"/>
      <c r="DN11" s="852"/>
      <c r="DO11" s="852"/>
      <c r="DP11" s="852"/>
      <c r="DQ11" s="852"/>
      <c r="DR11" s="852"/>
      <c r="DS11" s="852"/>
      <c r="DT11" s="852"/>
      <c r="DU11" s="852"/>
      <c r="DV11" s="852"/>
      <c r="DW11" s="852"/>
      <c r="DX11" s="852"/>
      <c r="DY11" s="852"/>
      <c r="DZ11" s="852"/>
      <c r="EA11" s="852"/>
      <c r="EB11" s="852"/>
      <c r="EC11" s="852"/>
      <c r="ED11" s="852"/>
      <c r="EE11" s="852"/>
      <c r="EF11" s="852"/>
      <c r="EG11" s="852"/>
      <c r="EH11" s="852"/>
      <c r="EI11" s="852"/>
      <c r="EJ11" s="852"/>
      <c r="EK11" s="852"/>
      <c r="EL11" s="852"/>
      <c r="EM11" s="852"/>
      <c r="EN11" s="852"/>
      <c r="EO11" s="852"/>
      <c r="EP11" s="852"/>
      <c r="EQ11" s="852"/>
      <c r="ER11" s="852"/>
      <c r="ES11" s="852"/>
      <c r="ET11" s="852"/>
      <c r="EU11" s="852"/>
      <c r="EV11" s="852"/>
      <c r="EW11" s="852"/>
      <c r="EX11" s="852"/>
      <c r="EY11" s="852"/>
      <c r="EZ11" s="852"/>
      <c r="FA11" s="852"/>
      <c r="FB11" s="852"/>
      <c r="FC11" s="852"/>
      <c r="FD11" s="852"/>
      <c r="FE11" s="852"/>
      <c r="FF11" s="852"/>
      <c r="FG11" s="852"/>
      <c r="FH11" s="852"/>
      <c r="FI11" s="852"/>
      <c r="FJ11" s="852"/>
      <c r="FK11" s="852"/>
      <c r="FL11" s="852"/>
      <c r="FM11" s="852"/>
      <c r="FN11" s="852"/>
      <c r="FO11" s="852"/>
      <c r="FP11" s="852"/>
      <c r="FQ11" s="852"/>
      <c r="FR11" s="852"/>
      <c r="FS11" s="852"/>
      <c r="FT11" s="852"/>
      <c r="FU11" s="852"/>
      <c r="FV11" s="852"/>
      <c r="FW11" s="867"/>
      <c r="FX11" s="39"/>
      <c r="GC11" s="826">
        <v>12</v>
      </c>
    </row>
    <row r="12" ht="12.75" customHeight="1" spans="4:185">
      <c r="D12" s="437"/>
      <c r="E12" s="835"/>
      <c r="F12" s="661"/>
      <c r="G12" s="661"/>
      <c r="H12" s="661"/>
      <c r="I12" s="661"/>
      <c r="J12" s="842"/>
      <c r="K12" s="842"/>
      <c r="L12" s="842"/>
      <c r="M12" s="842"/>
      <c r="N12" s="842"/>
      <c r="O12" s="65" t="s">
        <v>1087</v>
      </c>
      <c r="P12" s="65"/>
      <c r="Q12" s="65"/>
      <c r="R12" s="65"/>
      <c r="S12" s="65" t="s">
        <v>1088</v>
      </c>
      <c r="T12" s="65"/>
      <c r="U12" s="65"/>
      <c r="V12" s="65"/>
      <c r="W12" s="65"/>
      <c r="X12" s="65"/>
      <c r="Y12" s="65"/>
      <c r="Z12" s="65"/>
      <c r="AA12" s="65"/>
      <c r="AB12" s="65"/>
      <c r="AC12" s="852"/>
      <c r="AD12" s="852"/>
      <c r="AE12" s="852"/>
      <c r="AF12" s="852"/>
      <c r="AG12" s="852"/>
      <c r="AH12" s="852"/>
      <c r="AI12" s="852"/>
      <c r="AJ12" s="852"/>
      <c r="AK12" s="852"/>
      <c r="AL12" s="852"/>
      <c r="AM12" s="852"/>
      <c r="AN12" s="852"/>
      <c r="AO12" s="852"/>
      <c r="AP12" s="852"/>
      <c r="AQ12" s="852"/>
      <c r="AR12" s="852"/>
      <c r="AS12" s="852"/>
      <c r="AT12" s="852"/>
      <c r="AU12" s="852"/>
      <c r="AV12" s="852"/>
      <c r="AW12" s="852"/>
      <c r="AX12" s="852"/>
      <c r="AY12" s="852"/>
      <c r="AZ12" s="852"/>
      <c r="BA12" s="852"/>
      <c r="BB12" s="852"/>
      <c r="BC12" s="852"/>
      <c r="BD12" s="852"/>
      <c r="BE12" s="852"/>
      <c r="BF12" s="852"/>
      <c r="BG12" s="852"/>
      <c r="BH12" s="852"/>
      <c r="BI12" s="852"/>
      <c r="BJ12" s="852"/>
      <c r="BK12" s="852"/>
      <c r="BL12" s="852"/>
      <c r="BM12" s="852"/>
      <c r="BN12" s="852"/>
      <c r="BO12" s="852"/>
      <c r="BP12" s="852"/>
      <c r="BQ12" s="852"/>
      <c r="BR12" s="852"/>
      <c r="BS12" s="855"/>
      <c r="BT12" s="256" t="s">
        <v>1089</v>
      </c>
      <c r="BU12" s="802"/>
      <c r="BV12" s="802"/>
      <c r="BW12" s="803"/>
      <c r="BX12" s="256" t="s">
        <v>1090</v>
      </c>
      <c r="BY12" s="802"/>
      <c r="BZ12" s="802"/>
      <c r="CA12" s="803"/>
      <c r="CB12" s="256" t="s">
        <v>1091</v>
      </c>
      <c r="CC12" s="803"/>
      <c r="CD12" s="256" t="s">
        <v>1092</v>
      </c>
      <c r="CE12" s="802"/>
      <c r="CF12" s="802"/>
      <c r="CG12" s="802"/>
      <c r="CH12" s="802"/>
      <c r="CI12" s="802"/>
      <c r="CJ12" s="802"/>
      <c r="CK12" s="803"/>
      <c r="CL12" s="859"/>
      <c r="CM12" s="852"/>
      <c r="CN12" s="852"/>
      <c r="CO12" s="852"/>
      <c r="CP12" s="852"/>
      <c r="CQ12" s="852"/>
      <c r="CR12" s="852"/>
      <c r="CS12" s="852"/>
      <c r="CT12" s="852"/>
      <c r="CU12" s="852"/>
      <c r="CV12" s="852"/>
      <c r="CW12" s="852"/>
      <c r="CX12" s="855"/>
      <c r="CY12" s="256" t="s">
        <v>1093</v>
      </c>
      <c r="CZ12" s="802"/>
      <c r="DA12" s="802"/>
      <c r="DB12" s="802"/>
      <c r="DC12" s="802"/>
      <c r="DD12" s="803"/>
      <c r="DE12" s="256" t="s">
        <v>1094</v>
      </c>
      <c r="DF12" s="803"/>
      <c r="DG12" s="256" t="s">
        <v>1092</v>
      </c>
      <c r="DH12" s="802"/>
      <c r="DI12" s="802"/>
      <c r="DJ12" s="803"/>
      <c r="DK12" s="859"/>
      <c r="DL12" s="852"/>
      <c r="DM12" s="852"/>
      <c r="DN12" s="852"/>
      <c r="DO12" s="852"/>
      <c r="DP12" s="852"/>
      <c r="DQ12" s="852"/>
      <c r="DR12" s="852"/>
      <c r="DS12" s="852"/>
      <c r="DT12" s="852"/>
      <c r="DU12" s="852"/>
      <c r="DV12" s="852"/>
      <c r="DW12" s="852"/>
      <c r="DX12" s="852"/>
      <c r="DY12" s="852"/>
      <c r="DZ12" s="852"/>
      <c r="EA12" s="852"/>
      <c r="EB12" s="852"/>
      <c r="EC12" s="852"/>
      <c r="ED12" s="852"/>
      <c r="EE12" s="852"/>
      <c r="EF12" s="852"/>
      <c r="EG12" s="852"/>
      <c r="EH12" s="852"/>
      <c r="EI12" s="852"/>
      <c r="EJ12" s="852"/>
      <c r="EK12" s="852"/>
      <c r="EL12" s="852"/>
      <c r="EM12" s="852"/>
      <c r="EN12" s="852"/>
      <c r="EO12" s="852"/>
      <c r="EP12" s="852"/>
      <c r="EQ12" s="852"/>
      <c r="ER12" s="852"/>
      <c r="ES12" s="852"/>
      <c r="ET12" s="852"/>
      <c r="EU12" s="852"/>
      <c r="EV12" s="852"/>
      <c r="EW12" s="852"/>
      <c r="EX12" s="852"/>
      <c r="EY12" s="852"/>
      <c r="EZ12" s="852"/>
      <c r="FA12" s="852"/>
      <c r="FB12" s="852"/>
      <c r="FC12" s="852"/>
      <c r="FD12" s="852"/>
      <c r="FE12" s="852"/>
      <c r="FF12" s="852"/>
      <c r="FG12" s="852"/>
      <c r="FH12" s="852"/>
      <c r="FI12" s="852"/>
      <c r="FJ12" s="852"/>
      <c r="FK12" s="852"/>
      <c r="FL12" s="852"/>
      <c r="FM12" s="852"/>
      <c r="FN12" s="852"/>
      <c r="FO12" s="852"/>
      <c r="FP12" s="852"/>
      <c r="FQ12" s="852"/>
      <c r="FR12" s="852"/>
      <c r="FS12" s="852"/>
      <c r="FT12" s="852"/>
      <c r="FU12" s="852"/>
      <c r="FV12" s="852"/>
      <c r="FW12" s="867"/>
      <c r="FX12" s="39"/>
      <c r="GC12" s="826">
        <v>12</v>
      </c>
    </row>
    <row r="13" ht="37.8" customHeight="1" spans="4:185">
      <c r="D13" s="437"/>
      <c r="E13" s="835"/>
      <c r="F13" s="661"/>
      <c r="G13" s="661"/>
      <c r="H13" s="661"/>
      <c r="I13" s="661"/>
      <c r="J13" s="842"/>
      <c r="K13" s="842"/>
      <c r="L13" s="842"/>
      <c r="M13" s="842"/>
      <c r="N13" s="842"/>
      <c r="O13" s="65" t="s">
        <v>1095</v>
      </c>
      <c r="P13" s="65"/>
      <c r="Q13" s="65"/>
      <c r="R13" s="65"/>
      <c r="S13" s="843" t="s">
        <v>1096</v>
      </c>
      <c r="T13" s="844"/>
      <c r="U13" s="63" t="s">
        <v>1097</v>
      </c>
      <c r="V13" s="63"/>
      <c r="W13" s="63"/>
      <c r="X13" s="63"/>
      <c r="Y13" s="63" t="s">
        <v>1098</v>
      </c>
      <c r="Z13" s="63"/>
      <c r="AA13" s="63"/>
      <c r="AB13" s="63"/>
      <c r="AC13" s="852"/>
      <c r="AD13" s="852"/>
      <c r="AE13" s="852"/>
      <c r="AF13" s="852"/>
      <c r="AG13" s="852"/>
      <c r="AH13" s="852"/>
      <c r="AI13" s="852"/>
      <c r="AJ13" s="852"/>
      <c r="AK13" s="852"/>
      <c r="AL13" s="852"/>
      <c r="AM13" s="852"/>
      <c r="AN13" s="852"/>
      <c r="AO13" s="852"/>
      <c r="AP13" s="852"/>
      <c r="AQ13" s="852"/>
      <c r="AR13" s="852"/>
      <c r="AS13" s="852"/>
      <c r="AT13" s="852"/>
      <c r="AU13" s="852"/>
      <c r="AV13" s="852"/>
      <c r="AW13" s="852"/>
      <c r="AX13" s="852"/>
      <c r="AY13" s="852"/>
      <c r="AZ13" s="852"/>
      <c r="BA13" s="852"/>
      <c r="BB13" s="852"/>
      <c r="BC13" s="852"/>
      <c r="BD13" s="852"/>
      <c r="BE13" s="852"/>
      <c r="BF13" s="852"/>
      <c r="BG13" s="852"/>
      <c r="BH13" s="852"/>
      <c r="BI13" s="852"/>
      <c r="BJ13" s="852"/>
      <c r="BK13" s="852"/>
      <c r="BL13" s="852"/>
      <c r="BM13" s="852"/>
      <c r="BN13" s="852"/>
      <c r="BO13" s="852"/>
      <c r="BP13" s="852"/>
      <c r="BQ13" s="852"/>
      <c r="BR13" s="852"/>
      <c r="BS13" s="855"/>
      <c r="BT13" s="843" t="s">
        <v>1099</v>
      </c>
      <c r="BU13" s="844"/>
      <c r="BV13" s="843" t="s">
        <v>1100</v>
      </c>
      <c r="BW13" s="844"/>
      <c r="BX13" s="843" t="s">
        <v>1101</v>
      </c>
      <c r="BY13" s="844"/>
      <c r="BZ13" s="843" t="s">
        <v>1102</v>
      </c>
      <c r="CA13" s="844"/>
      <c r="CB13" s="843" t="s">
        <v>1103</v>
      </c>
      <c r="CC13" s="844"/>
      <c r="CD13" s="843" t="s">
        <v>1104</v>
      </c>
      <c r="CE13" s="844"/>
      <c r="CF13" s="843" t="s">
        <v>1105</v>
      </c>
      <c r="CG13" s="844"/>
      <c r="CH13" s="256" t="s">
        <v>1106</v>
      </c>
      <c r="CI13" s="802"/>
      <c r="CJ13" s="802"/>
      <c r="CK13" s="803"/>
      <c r="CL13" s="859"/>
      <c r="CM13" s="852"/>
      <c r="CN13" s="852"/>
      <c r="CO13" s="852"/>
      <c r="CP13" s="852"/>
      <c r="CQ13" s="852"/>
      <c r="CR13" s="852"/>
      <c r="CS13" s="852"/>
      <c r="CT13" s="852"/>
      <c r="CU13" s="852"/>
      <c r="CV13" s="852"/>
      <c r="CW13" s="852"/>
      <c r="CX13" s="855"/>
      <c r="CY13" s="843" t="s">
        <v>1107</v>
      </c>
      <c r="CZ13" s="844"/>
      <c r="DA13" s="843" t="s">
        <v>1108</v>
      </c>
      <c r="DB13" s="844"/>
      <c r="DC13" s="843" t="s">
        <v>1109</v>
      </c>
      <c r="DD13" s="844"/>
      <c r="DE13" s="843" t="s">
        <v>1110</v>
      </c>
      <c r="DF13" s="844"/>
      <c r="DG13" s="256" t="s">
        <v>1111</v>
      </c>
      <c r="DH13" s="802"/>
      <c r="DI13" s="802"/>
      <c r="DJ13" s="803"/>
      <c r="DK13" s="859"/>
      <c r="DL13" s="852"/>
      <c r="DM13" s="852"/>
      <c r="DN13" s="852"/>
      <c r="DO13" s="852"/>
      <c r="DP13" s="852"/>
      <c r="DQ13" s="852"/>
      <c r="DR13" s="852"/>
      <c r="DS13" s="852"/>
      <c r="DT13" s="852"/>
      <c r="DU13" s="852"/>
      <c r="DV13" s="852"/>
      <c r="DW13" s="852"/>
      <c r="DX13" s="852"/>
      <c r="DY13" s="852"/>
      <c r="DZ13" s="852"/>
      <c r="EA13" s="852"/>
      <c r="EB13" s="852"/>
      <c r="EC13" s="852"/>
      <c r="ED13" s="852"/>
      <c r="EE13" s="852"/>
      <c r="EF13" s="852"/>
      <c r="EG13" s="852"/>
      <c r="EH13" s="852"/>
      <c r="EI13" s="852"/>
      <c r="EJ13" s="852"/>
      <c r="EK13" s="852"/>
      <c r="EL13" s="852"/>
      <c r="EM13" s="852"/>
      <c r="EN13" s="852"/>
      <c r="EO13" s="852"/>
      <c r="EP13" s="852"/>
      <c r="EQ13" s="852"/>
      <c r="ER13" s="852"/>
      <c r="ES13" s="852"/>
      <c r="ET13" s="852"/>
      <c r="EU13" s="852"/>
      <c r="EV13" s="852"/>
      <c r="EW13" s="852"/>
      <c r="EX13" s="852"/>
      <c r="EY13" s="852"/>
      <c r="EZ13" s="852"/>
      <c r="FA13" s="852"/>
      <c r="FB13" s="852"/>
      <c r="FC13" s="852"/>
      <c r="FD13" s="852"/>
      <c r="FE13" s="852"/>
      <c r="FF13" s="852"/>
      <c r="FG13" s="852"/>
      <c r="FH13" s="852"/>
      <c r="FI13" s="852"/>
      <c r="FJ13" s="852"/>
      <c r="FK13" s="852"/>
      <c r="FL13" s="852"/>
      <c r="FM13" s="852"/>
      <c r="FN13" s="852"/>
      <c r="FO13" s="852"/>
      <c r="FP13" s="852"/>
      <c r="FQ13" s="852"/>
      <c r="FR13" s="852"/>
      <c r="FS13" s="852"/>
      <c r="FT13" s="852"/>
      <c r="FU13" s="852"/>
      <c r="FV13" s="852"/>
      <c r="FW13" s="867"/>
      <c r="FX13" s="39"/>
      <c r="GC13" s="826">
        <v>36</v>
      </c>
    </row>
    <row r="14" ht="37.8" customHeight="1" spans="4:185">
      <c r="D14" s="437"/>
      <c r="E14" s="835"/>
      <c r="F14" s="661"/>
      <c r="G14" s="661"/>
      <c r="H14" s="661"/>
      <c r="I14" s="661"/>
      <c r="J14" s="842"/>
      <c r="K14" s="842"/>
      <c r="L14" s="842"/>
      <c r="M14" s="842"/>
      <c r="N14" s="842"/>
      <c r="O14" s="843" t="s">
        <v>1112</v>
      </c>
      <c r="P14" s="844"/>
      <c r="Q14" s="843" t="s">
        <v>1113</v>
      </c>
      <c r="R14" s="844"/>
      <c r="S14" s="848"/>
      <c r="T14" s="247"/>
      <c r="U14" s="843" t="s">
        <v>845</v>
      </c>
      <c r="V14" s="844"/>
      <c r="W14" s="843" t="s">
        <v>848</v>
      </c>
      <c r="X14" s="844"/>
      <c r="Y14" s="843" t="s">
        <v>845</v>
      </c>
      <c r="Z14" s="844"/>
      <c r="AA14" s="843" t="s">
        <v>855</v>
      </c>
      <c r="AB14" s="844"/>
      <c r="AC14" s="852"/>
      <c r="AD14" s="852"/>
      <c r="AE14" s="852"/>
      <c r="AF14" s="852"/>
      <c r="AG14" s="852"/>
      <c r="AH14" s="852"/>
      <c r="AI14" s="852"/>
      <c r="AJ14" s="852"/>
      <c r="AK14" s="852"/>
      <c r="AL14" s="852"/>
      <c r="AM14" s="852"/>
      <c r="AN14" s="852"/>
      <c r="AO14" s="852"/>
      <c r="AP14" s="852"/>
      <c r="AQ14" s="852"/>
      <c r="AR14" s="852"/>
      <c r="AS14" s="852"/>
      <c r="AT14" s="852"/>
      <c r="AU14" s="852"/>
      <c r="AV14" s="852"/>
      <c r="AW14" s="852"/>
      <c r="AX14" s="852"/>
      <c r="AY14" s="852"/>
      <c r="AZ14" s="852"/>
      <c r="BA14" s="852"/>
      <c r="BB14" s="852"/>
      <c r="BC14" s="852"/>
      <c r="BD14" s="852"/>
      <c r="BE14" s="852"/>
      <c r="BF14" s="852"/>
      <c r="BG14" s="852"/>
      <c r="BH14" s="852"/>
      <c r="BI14" s="852"/>
      <c r="BJ14" s="852"/>
      <c r="BK14" s="852"/>
      <c r="BL14" s="852"/>
      <c r="BM14" s="852"/>
      <c r="BN14" s="852"/>
      <c r="BO14" s="852"/>
      <c r="BP14" s="852"/>
      <c r="BQ14" s="852"/>
      <c r="BR14" s="852"/>
      <c r="BS14" s="855"/>
      <c r="BT14" s="848"/>
      <c r="BU14" s="247"/>
      <c r="BV14" s="848"/>
      <c r="BW14" s="247"/>
      <c r="BX14" s="848"/>
      <c r="BY14" s="247"/>
      <c r="BZ14" s="848"/>
      <c r="CA14" s="247"/>
      <c r="CB14" s="848"/>
      <c r="CC14" s="247"/>
      <c r="CD14" s="848"/>
      <c r="CE14" s="247"/>
      <c r="CF14" s="848"/>
      <c r="CG14" s="247"/>
      <c r="CH14" s="843" t="s">
        <v>1114</v>
      </c>
      <c r="CI14" s="844"/>
      <c r="CJ14" s="843" t="s">
        <v>1115</v>
      </c>
      <c r="CK14" s="844"/>
      <c r="CL14" s="859"/>
      <c r="CM14" s="852"/>
      <c r="CN14" s="852"/>
      <c r="CO14" s="852"/>
      <c r="CP14" s="852"/>
      <c r="CQ14" s="852"/>
      <c r="CR14" s="852"/>
      <c r="CS14" s="852"/>
      <c r="CT14" s="852"/>
      <c r="CU14" s="852"/>
      <c r="CV14" s="852"/>
      <c r="CW14" s="852"/>
      <c r="CX14" s="855"/>
      <c r="CY14" s="848"/>
      <c r="CZ14" s="247"/>
      <c r="DA14" s="848"/>
      <c r="DB14" s="247"/>
      <c r="DC14" s="848"/>
      <c r="DD14" s="247"/>
      <c r="DE14" s="848"/>
      <c r="DF14" s="247"/>
      <c r="DG14" s="843" t="s">
        <v>1116</v>
      </c>
      <c r="DH14" s="844"/>
      <c r="DI14" s="843" t="s">
        <v>1117</v>
      </c>
      <c r="DJ14" s="844"/>
      <c r="DK14" s="859"/>
      <c r="DL14" s="852"/>
      <c r="DM14" s="852"/>
      <c r="DN14" s="852"/>
      <c r="DO14" s="852"/>
      <c r="DP14" s="852"/>
      <c r="DQ14" s="852"/>
      <c r="DR14" s="852"/>
      <c r="DS14" s="852"/>
      <c r="DT14" s="852"/>
      <c r="DU14" s="852"/>
      <c r="DV14" s="852"/>
      <c r="DW14" s="852"/>
      <c r="DX14" s="852"/>
      <c r="DY14" s="852"/>
      <c r="DZ14" s="852"/>
      <c r="EA14" s="852"/>
      <c r="EB14" s="852"/>
      <c r="EC14" s="852"/>
      <c r="ED14" s="852"/>
      <c r="EE14" s="852"/>
      <c r="EF14" s="852"/>
      <c r="EG14" s="852"/>
      <c r="EH14" s="852"/>
      <c r="EI14" s="852"/>
      <c r="EJ14" s="852"/>
      <c r="EK14" s="852"/>
      <c r="EL14" s="852"/>
      <c r="EM14" s="852"/>
      <c r="EN14" s="852"/>
      <c r="EO14" s="852"/>
      <c r="EP14" s="852"/>
      <c r="EQ14" s="852"/>
      <c r="ER14" s="852"/>
      <c r="ES14" s="852"/>
      <c r="ET14" s="852"/>
      <c r="EU14" s="852"/>
      <c r="EV14" s="852"/>
      <c r="EW14" s="852"/>
      <c r="EX14" s="852"/>
      <c r="EY14" s="852"/>
      <c r="EZ14" s="852"/>
      <c r="FA14" s="852"/>
      <c r="FB14" s="852"/>
      <c r="FC14" s="852"/>
      <c r="FD14" s="852"/>
      <c r="FE14" s="852"/>
      <c r="FF14" s="852"/>
      <c r="FG14" s="852"/>
      <c r="FH14" s="852"/>
      <c r="FI14" s="852"/>
      <c r="FJ14" s="852"/>
      <c r="FK14" s="852"/>
      <c r="FL14" s="852"/>
      <c r="FM14" s="852"/>
      <c r="FN14" s="852"/>
      <c r="FO14" s="852"/>
      <c r="FP14" s="852"/>
      <c r="FQ14" s="852"/>
      <c r="FR14" s="852"/>
      <c r="FS14" s="852"/>
      <c r="FT14" s="852"/>
      <c r="FU14" s="852"/>
      <c r="FV14" s="852"/>
      <c r="FW14" s="867"/>
      <c r="FX14" s="39"/>
      <c r="GC14" s="826">
        <v>36</v>
      </c>
    </row>
    <row r="15" ht="37.8" customHeight="1" spans="4:185">
      <c r="D15" s="437"/>
      <c r="E15" s="835"/>
      <c r="F15" s="661"/>
      <c r="G15" s="661"/>
      <c r="H15" s="661"/>
      <c r="I15" s="661"/>
      <c r="J15" s="842"/>
      <c r="K15" s="842"/>
      <c r="L15" s="842"/>
      <c r="M15" s="842"/>
      <c r="N15" s="842"/>
      <c r="O15" s="845"/>
      <c r="P15" s="846"/>
      <c r="Q15" s="845"/>
      <c r="R15" s="846"/>
      <c r="S15" s="845"/>
      <c r="T15" s="846"/>
      <c r="U15" s="845"/>
      <c r="V15" s="846"/>
      <c r="W15" s="845"/>
      <c r="X15" s="846"/>
      <c r="Y15" s="845"/>
      <c r="Z15" s="846"/>
      <c r="AA15" s="845"/>
      <c r="AB15" s="846"/>
      <c r="AC15" s="852"/>
      <c r="AD15" s="852"/>
      <c r="AE15" s="852"/>
      <c r="AF15" s="852"/>
      <c r="AG15" s="852"/>
      <c r="AH15" s="852"/>
      <c r="AI15" s="852"/>
      <c r="AJ15" s="852"/>
      <c r="AK15" s="852"/>
      <c r="AL15" s="852"/>
      <c r="AM15" s="852"/>
      <c r="AN15" s="852"/>
      <c r="AO15" s="852"/>
      <c r="AP15" s="852"/>
      <c r="AQ15" s="852"/>
      <c r="AR15" s="852"/>
      <c r="AS15" s="852"/>
      <c r="AT15" s="852"/>
      <c r="AU15" s="852"/>
      <c r="AV15" s="852"/>
      <c r="AW15" s="852"/>
      <c r="AX15" s="852"/>
      <c r="AY15" s="852"/>
      <c r="AZ15" s="852"/>
      <c r="BA15" s="852"/>
      <c r="BB15" s="852"/>
      <c r="BC15" s="852"/>
      <c r="BD15" s="852"/>
      <c r="BE15" s="852"/>
      <c r="BF15" s="852"/>
      <c r="BG15" s="852"/>
      <c r="BH15" s="852"/>
      <c r="BI15" s="852"/>
      <c r="BJ15" s="852"/>
      <c r="BK15" s="852"/>
      <c r="BL15" s="852"/>
      <c r="BM15" s="852"/>
      <c r="BN15" s="852"/>
      <c r="BO15" s="852"/>
      <c r="BP15" s="852"/>
      <c r="BQ15" s="852"/>
      <c r="BR15" s="852"/>
      <c r="BS15" s="855"/>
      <c r="BT15" s="845"/>
      <c r="BU15" s="846"/>
      <c r="BV15" s="845"/>
      <c r="BW15" s="846"/>
      <c r="BX15" s="845"/>
      <c r="BY15" s="846"/>
      <c r="BZ15" s="845"/>
      <c r="CA15" s="846"/>
      <c r="CB15" s="845"/>
      <c r="CC15" s="846"/>
      <c r="CD15" s="845"/>
      <c r="CE15" s="846"/>
      <c r="CF15" s="845"/>
      <c r="CG15" s="846"/>
      <c r="CH15" s="845"/>
      <c r="CI15" s="846"/>
      <c r="CJ15" s="845"/>
      <c r="CK15" s="846"/>
      <c r="CL15" s="859"/>
      <c r="CM15" s="852"/>
      <c r="CN15" s="852"/>
      <c r="CO15" s="852"/>
      <c r="CP15" s="852"/>
      <c r="CQ15" s="852"/>
      <c r="CR15" s="852"/>
      <c r="CS15" s="852"/>
      <c r="CT15" s="852"/>
      <c r="CU15" s="852"/>
      <c r="CV15" s="852"/>
      <c r="CW15" s="852"/>
      <c r="CX15" s="855"/>
      <c r="CY15" s="845"/>
      <c r="CZ15" s="846"/>
      <c r="DA15" s="845"/>
      <c r="DB15" s="846"/>
      <c r="DC15" s="845"/>
      <c r="DD15" s="846"/>
      <c r="DE15" s="845"/>
      <c r="DF15" s="846"/>
      <c r="DG15" s="845"/>
      <c r="DH15" s="846"/>
      <c r="DI15" s="845"/>
      <c r="DJ15" s="846"/>
      <c r="DK15" s="859"/>
      <c r="DL15" s="852"/>
      <c r="DM15" s="852"/>
      <c r="DN15" s="852"/>
      <c r="DO15" s="852"/>
      <c r="DP15" s="852"/>
      <c r="DQ15" s="852"/>
      <c r="DR15" s="852"/>
      <c r="DS15" s="852"/>
      <c r="DT15" s="852"/>
      <c r="DU15" s="852"/>
      <c r="DV15" s="852"/>
      <c r="DW15" s="852"/>
      <c r="DX15" s="852"/>
      <c r="DY15" s="852"/>
      <c r="DZ15" s="852"/>
      <c r="EA15" s="852"/>
      <c r="EB15" s="852"/>
      <c r="EC15" s="852"/>
      <c r="ED15" s="852"/>
      <c r="EE15" s="852"/>
      <c r="EF15" s="852"/>
      <c r="EG15" s="852"/>
      <c r="EH15" s="852"/>
      <c r="EI15" s="852"/>
      <c r="EJ15" s="852"/>
      <c r="EK15" s="852"/>
      <c r="EL15" s="852"/>
      <c r="EM15" s="852"/>
      <c r="EN15" s="852"/>
      <c r="EO15" s="852"/>
      <c r="EP15" s="852"/>
      <c r="EQ15" s="852"/>
      <c r="ER15" s="852"/>
      <c r="ES15" s="852"/>
      <c r="ET15" s="852"/>
      <c r="EU15" s="852"/>
      <c r="EV15" s="852"/>
      <c r="EW15" s="852"/>
      <c r="EX15" s="852"/>
      <c r="EY15" s="852"/>
      <c r="EZ15" s="852"/>
      <c r="FA15" s="852"/>
      <c r="FB15" s="852"/>
      <c r="FC15" s="852"/>
      <c r="FD15" s="852"/>
      <c r="FE15" s="852"/>
      <c r="FF15" s="852"/>
      <c r="FG15" s="852"/>
      <c r="FH15" s="852"/>
      <c r="FI15" s="852"/>
      <c r="FJ15" s="852"/>
      <c r="FK15" s="852"/>
      <c r="FL15" s="852"/>
      <c r="FM15" s="852"/>
      <c r="FN15" s="852"/>
      <c r="FO15" s="852"/>
      <c r="FP15" s="852"/>
      <c r="FQ15" s="852"/>
      <c r="FR15" s="852"/>
      <c r="FS15" s="852"/>
      <c r="FT15" s="852"/>
      <c r="FU15" s="852"/>
      <c r="FV15" s="852"/>
      <c r="FW15" s="867"/>
      <c r="FX15" s="39"/>
      <c r="GC15" s="826">
        <v>36</v>
      </c>
    </row>
    <row r="16" ht="12.75" customHeight="1" spans="4:185">
      <c r="D16" s="437"/>
      <c r="E16" s="835"/>
      <c r="F16" s="661"/>
      <c r="G16" s="661"/>
      <c r="H16" s="661"/>
      <c r="I16" s="661"/>
      <c r="J16" s="842"/>
      <c r="K16" s="842"/>
      <c r="L16" s="842"/>
      <c r="M16" s="842"/>
      <c r="N16" s="842"/>
      <c r="O16" s="256" t="s">
        <v>835</v>
      </c>
      <c r="P16" s="803"/>
      <c r="Q16" s="256" t="s">
        <v>837</v>
      </c>
      <c r="R16" s="803"/>
      <c r="S16" s="256" t="s">
        <v>841</v>
      </c>
      <c r="T16" s="803"/>
      <c r="U16" s="256" t="s">
        <v>846</v>
      </c>
      <c r="V16" s="803"/>
      <c r="W16" s="256" t="s">
        <v>849</v>
      </c>
      <c r="X16" s="803"/>
      <c r="Y16" s="256" t="s">
        <v>853</v>
      </c>
      <c r="Z16" s="803"/>
      <c r="AA16" s="256" t="s">
        <v>856</v>
      </c>
      <c r="AB16" s="803"/>
      <c r="AC16" s="852"/>
      <c r="AD16" s="852"/>
      <c r="AE16" s="852"/>
      <c r="AF16" s="852"/>
      <c r="AG16" s="852"/>
      <c r="AH16" s="852"/>
      <c r="AI16" s="852"/>
      <c r="AJ16" s="852"/>
      <c r="AK16" s="852"/>
      <c r="AL16" s="852"/>
      <c r="AM16" s="852"/>
      <c r="AN16" s="852"/>
      <c r="AO16" s="852"/>
      <c r="AP16" s="852"/>
      <c r="AQ16" s="852"/>
      <c r="AR16" s="852"/>
      <c r="AS16" s="852"/>
      <c r="AT16" s="852"/>
      <c r="AU16" s="852"/>
      <c r="AV16" s="852"/>
      <c r="AW16" s="852"/>
      <c r="AX16" s="852"/>
      <c r="AY16" s="852"/>
      <c r="AZ16" s="852"/>
      <c r="BA16" s="852"/>
      <c r="BB16" s="852"/>
      <c r="BC16" s="852"/>
      <c r="BD16" s="852"/>
      <c r="BE16" s="852"/>
      <c r="BF16" s="852"/>
      <c r="BG16" s="852"/>
      <c r="BH16" s="852"/>
      <c r="BI16" s="852"/>
      <c r="BJ16" s="852"/>
      <c r="BK16" s="852"/>
      <c r="BL16" s="852"/>
      <c r="BM16" s="852"/>
      <c r="BN16" s="852"/>
      <c r="BO16" s="852"/>
      <c r="BP16" s="852"/>
      <c r="BQ16" s="852"/>
      <c r="BR16" s="852"/>
      <c r="BS16" s="855"/>
      <c r="BT16" s="256" t="s">
        <v>568</v>
      </c>
      <c r="BU16" s="803"/>
      <c r="BV16" s="256" t="s">
        <v>568</v>
      </c>
      <c r="BW16" s="803"/>
      <c r="BX16" s="256" t="s">
        <v>568</v>
      </c>
      <c r="BY16" s="803"/>
      <c r="BZ16" s="256" t="s">
        <v>568</v>
      </c>
      <c r="CA16" s="803"/>
      <c r="CB16" s="256" t="s">
        <v>1118</v>
      </c>
      <c r="CC16" s="803"/>
      <c r="CD16" s="256" t="s">
        <v>568</v>
      </c>
      <c r="CE16" s="803"/>
      <c r="CF16" s="256" t="s">
        <v>1119</v>
      </c>
      <c r="CG16" s="803"/>
      <c r="CH16" s="256" t="s">
        <v>1120</v>
      </c>
      <c r="CI16" s="803"/>
      <c r="CJ16" s="256" t="s">
        <v>1120</v>
      </c>
      <c r="CK16" s="803"/>
      <c r="CL16" s="859"/>
      <c r="CM16" s="852"/>
      <c r="CN16" s="852"/>
      <c r="CO16" s="852"/>
      <c r="CP16" s="852"/>
      <c r="CQ16" s="852"/>
      <c r="CR16" s="852"/>
      <c r="CS16" s="852"/>
      <c r="CT16" s="852"/>
      <c r="CU16" s="852"/>
      <c r="CV16" s="852"/>
      <c r="CW16" s="852"/>
      <c r="CX16" s="855"/>
      <c r="CY16" s="843" t="s">
        <v>568</v>
      </c>
      <c r="CZ16" s="844"/>
      <c r="DA16" s="843" t="s">
        <v>568</v>
      </c>
      <c r="DB16" s="844"/>
      <c r="DC16" s="843" t="s">
        <v>568</v>
      </c>
      <c r="DD16" s="844"/>
      <c r="DE16" s="256" t="s">
        <v>1118</v>
      </c>
      <c r="DF16" s="803"/>
      <c r="DG16" s="256" t="s">
        <v>1121</v>
      </c>
      <c r="DH16" s="803"/>
      <c r="DI16" s="256" t="s">
        <v>1121</v>
      </c>
      <c r="DJ16" s="803"/>
      <c r="DK16" s="859"/>
      <c r="DL16" s="852"/>
      <c r="DM16" s="852"/>
      <c r="DN16" s="852"/>
      <c r="DO16" s="852"/>
      <c r="DP16" s="852"/>
      <c r="DQ16" s="852"/>
      <c r="DR16" s="852"/>
      <c r="DS16" s="852"/>
      <c r="DT16" s="852"/>
      <c r="DU16" s="852"/>
      <c r="DV16" s="852"/>
      <c r="DW16" s="852"/>
      <c r="DX16" s="852"/>
      <c r="DY16" s="852"/>
      <c r="DZ16" s="852"/>
      <c r="EA16" s="852"/>
      <c r="EB16" s="852"/>
      <c r="EC16" s="852"/>
      <c r="ED16" s="852"/>
      <c r="EE16" s="852"/>
      <c r="EF16" s="852"/>
      <c r="EG16" s="852"/>
      <c r="EH16" s="852"/>
      <c r="EI16" s="852"/>
      <c r="EJ16" s="852"/>
      <c r="EK16" s="852"/>
      <c r="EL16" s="852"/>
      <c r="EM16" s="852"/>
      <c r="EN16" s="852"/>
      <c r="EO16" s="852"/>
      <c r="EP16" s="852"/>
      <c r="EQ16" s="852"/>
      <c r="ER16" s="852"/>
      <c r="ES16" s="852"/>
      <c r="ET16" s="852"/>
      <c r="EU16" s="852"/>
      <c r="EV16" s="852"/>
      <c r="EW16" s="852"/>
      <c r="EX16" s="852"/>
      <c r="EY16" s="852"/>
      <c r="EZ16" s="852"/>
      <c r="FA16" s="852"/>
      <c r="FB16" s="852"/>
      <c r="FC16" s="852"/>
      <c r="FD16" s="852"/>
      <c r="FE16" s="852"/>
      <c r="FF16" s="852"/>
      <c r="FG16" s="852"/>
      <c r="FH16" s="852"/>
      <c r="FI16" s="852"/>
      <c r="FJ16" s="852"/>
      <c r="FK16" s="852"/>
      <c r="FL16" s="852"/>
      <c r="FM16" s="852"/>
      <c r="FN16" s="852"/>
      <c r="FO16" s="852"/>
      <c r="FP16" s="852"/>
      <c r="FQ16" s="852"/>
      <c r="FR16" s="852"/>
      <c r="FS16" s="852"/>
      <c r="FT16" s="852"/>
      <c r="FU16" s="852"/>
      <c r="FV16" s="852"/>
      <c r="FW16" s="867"/>
      <c r="FX16" s="39"/>
      <c r="GC16" s="826">
        <v>12</v>
      </c>
    </row>
    <row r="17" ht="15.75" customHeight="1" spans="5:185">
      <c r="E17" s="835"/>
      <c r="F17" s="661"/>
      <c r="G17" s="661"/>
      <c r="H17" s="661"/>
      <c r="I17" s="661"/>
      <c r="J17" s="842"/>
      <c r="K17" s="842"/>
      <c r="L17" s="842"/>
      <c r="M17" s="842"/>
      <c r="N17" s="842"/>
      <c r="O17" s="65" t="s">
        <v>1122</v>
      </c>
      <c r="P17" s="65" t="s">
        <v>1123</v>
      </c>
      <c r="Q17" s="65" t="s">
        <v>1122</v>
      </c>
      <c r="R17" s="65" t="s">
        <v>1123</v>
      </c>
      <c r="S17" s="65" t="s">
        <v>1122</v>
      </c>
      <c r="T17" s="65" t="s">
        <v>1123</v>
      </c>
      <c r="U17" s="65" t="s">
        <v>1122</v>
      </c>
      <c r="V17" s="65" t="s">
        <v>1123</v>
      </c>
      <c r="W17" s="65" t="s">
        <v>1122</v>
      </c>
      <c r="X17" s="65" t="s">
        <v>1123</v>
      </c>
      <c r="Y17" s="65" t="s">
        <v>1122</v>
      </c>
      <c r="Z17" s="65" t="s">
        <v>1123</v>
      </c>
      <c r="AA17" s="65" t="s">
        <v>1122</v>
      </c>
      <c r="AB17" s="65" t="s">
        <v>1123</v>
      </c>
      <c r="AC17" s="852"/>
      <c r="AD17" s="852"/>
      <c r="AE17" s="852"/>
      <c r="AF17" s="852"/>
      <c r="AG17" s="852"/>
      <c r="AH17" s="852"/>
      <c r="AI17" s="852"/>
      <c r="AJ17" s="852"/>
      <c r="AK17" s="852"/>
      <c r="AL17" s="852"/>
      <c r="AM17" s="852"/>
      <c r="AN17" s="852"/>
      <c r="AO17" s="852"/>
      <c r="AP17" s="852"/>
      <c r="AQ17" s="852"/>
      <c r="AR17" s="852"/>
      <c r="AS17" s="852"/>
      <c r="AT17" s="852"/>
      <c r="AU17" s="852"/>
      <c r="AV17" s="852"/>
      <c r="AW17" s="852"/>
      <c r="AX17" s="852"/>
      <c r="AY17" s="852"/>
      <c r="AZ17" s="852"/>
      <c r="BA17" s="852"/>
      <c r="BB17" s="852"/>
      <c r="BC17" s="852"/>
      <c r="BD17" s="852"/>
      <c r="BE17" s="852"/>
      <c r="BF17" s="852"/>
      <c r="BG17" s="852"/>
      <c r="BH17" s="852"/>
      <c r="BI17" s="852"/>
      <c r="BJ17" s="852"/>
      <c r="BK17" s="852"/>
      <c r="BL17" s="852"/>
      <c r="BM17" s="852"/>
      <c r="BN17" s="852"/>
      <c r="BO17" s="852"/>
      <c r="BP17" s="852"/>
      <c r="BQ17" s="852"/>
      <c r="BR17" s="852"/>
      <c r="BS17" s="855"/>
      <c r="BT17" s="65" t="s">
        <v>1122</v>
      </c>
      <c r="BU17" s="65" t="s">
        <v>1123</v>
      </c>
      <c r="BV17" s="65" t="s">
        <v>1122</v>
      </c>
      <c r="BW17" s="65" t="s">
        <v>1123</v>
      </c>
      <c r="BX17" s="65" t="s">
        <v>1122</v>
      </c>
      <c r="BY17" s="65" t="s">
        <v>1123</v>
      </c>
      <c r="BZ17" s="65" t="s">
        <v>1122</v>
      </c>
      <c r="CA17" s="65" t="s">
        <v>1123</v>
      </c>
      <c r="CB17" s="65" t="s">
        <v>1122</v>
      </c>
      <c r="CC17" s="65" t="s">
        <v>1123</v>
      </c>
      <c r="CD17" s="65" t="s">
        <v>1122</v>
      </c>
      <c r="CE17" s="65" t="s">
        <v>1123</v>
      </c>
      <c r="CF17" s="65" t="s">
        <v>1122</v>
      </c>
      <c r="CG17" s="65" t="s">
        <v>1123</v>
      </c>
      <c r="CH17" s="65" t="s">
        <v>1122</v>
      </c>
      <c r="CI17" s="65" t="s">
        <v>1123</v>
      </c>
      <c r="CJ17" s="65" t="s">
        <v>1122</v>
      </c>
      <c r="CK17" s="65" t="s">
        <v>1123</v>
      </c>
      <c r="CL17" s="859"/>
      <c r="CM17" s="852"/>
      <c r="CN17" s="852"/>
      <c r="CO17" s="852"/>
      <c r="CP17" s="852"/>
      <c r="CQ17" s="852"/>
      <c r="CR17" s="852"/>
      <c r="CS17" s="852"/>
      <c r="CT17" s="852"/>
      <c r="CU17" s="852"/>
      <c r="CV17" s="852"/>
      <c r="CW17" s="852"/>
      <c r="CX17" s="855"/>
      <c r="CY17" s="65" t="s">
        <v>1122</v>
      </c>
      <c r="CZ17" s="65" t="s">
        <v>1123</v>
      </c>
      <c r="DA17" s="65" t="s">
        <v>1122</v>
      </c>
      <c r="DB17" s="65" t="s">
        <v>1123</v>
      </c>
      <c r="DC17" s="65" t="s">
        <v>1122</v>
      </c>
      <c r="DD17" s="65" t="s">
        <v>1123</v>
      </c>
      <c r="DE17" s="65" t="s">
        <v>1122</v>
      </c>
      <c r="DF17" s="65" t="s">
        <v>1123</v>
      </c>
      <c r="DG17" s="65" t="s">
        <v>1122</v>
      </c>
      <c r="DH17" s="65" t="s">
        <v>1123</v>
      </c>
      <c r="DI17" s="65" t="s">
        <v>1122</v>
      </c>
      <c r="DJ17" s="65" t="s">
        <v>1123</v>
      </c>
      <c r="DK17" s="859"/>
      <c r="DL17" s="852"/>
      <c r="DM17" s="852"/>
      <c r="DN17" s="852"/>
      <c r="DO17" s="852"/>
      <c r="DP17" s="852"/>
      <c r="DQ17" s="852"/>
      <c r="DR17" s="852"/>
      <c r="DS17" s="852"/>
      <c r="DT17" s="852"/>
      <c r="DU17" s="852"/>
      <c r="DV17" s="852"/>
      <c r="DW17" s="852"/>
      <c r="DX17" s="852"/>
      <c r="DY17" s="852"/>
      <c r="DZ17" s="852"/>
      <c r="EA17" s="852"/>
      <c r="EB17" s="852"/>
      <c r="EC17" s="852"/>
      <c r="ED17" s="852"/>
      <c r="EE17" s="852"/>
      <c r="EF17" s="852"/>
      <c r="EG17" s="852"/>
      <c r="EH17" s="852"/>
      <c r="EI17" s="852"/>
      <c r="EJ17" s="852"/>
      <c r="EK17" s="852"/>
      <c r="EL17" s="852"/>
      <c r="EM17" s="852"/>
      <c r="EN17" s="852"/>
      <c r="EO17" s="852"/>
      <c r="EP17" s="852"/>
      <c r="EQ17" s="852"/>
      <c r="ER17" s="852"/>
      <c r="ES17" s="852"/>
      <c r="ET17" s="852"/>
      <c r="EU17" s="852"/>
      <c r="EV17" s="852"/>
      <c r="EW17" s="852"/>
      <c r="EX17" s="852"/>
      <c r="EY17" s="852"/>
      <c r="EZ17" s="852"/>
      <c r="FA17" s="852"/>
      <c r="FB17" s="852"/>
      <c r="FC17" s="852"/>
      <c r="FD17" s="852"/>
      <c r="FE17" s="852"/>
      <c r="FF17" s="852"/>
      <c r="FG17" s="852"/>
      <c r="FH17" s="852"/>
      <c r="FI17" s="852"/>
      <c r="FJ17" s="852"/>
      <c r="FK17" s="852"/>
      <c r="FL17" s="852"/>
      <c r="FM17" s="852"/>
      <c r="FN17" s="852"/>
      <c r="FO17" s="852"/>
      <c r="FP17" s="852"/>
      <c r="FQ17" s="852"/>
      <c r="FR17" s="852"/>
      <c r="FS17" s="852"/>
      <c r="FT17" s="852"/>
      <c r="FU17" s="852"/>
      <c r="FV17" s="852"/>
      <c r="FW17" s="868"/>
      <c r="FX17" s="39"/>
      <c r="GC17" s="826">
        <v>15</v>
      </c>
    </row>
    <row r="18" s="208" customFormat="1" hidden="1" customHeight="1" spans="2:185">
      <c r="B18" s="314"/>
      <c r="E18" s="315"/>
      <c r="F18" s="836"/>
      <c r="G18" s="836"/>
      <c r="H18" s="836"/>
      <c r="I18" s="836"/>
      <c r="J18" s="847"/>
      <c r="K18" s="847"/>
      <c r="L18" s="847"/>
      <c r="M18" s="847"/>
      <c r="N18" s="847"/>
      <c r="O18" s="836"/>
      <c r="P18" s="836"/>
      <c r="Q18" s="836"/>
      <c r="R18" s="836"/>
      <c r="S18" s="836"/>
      <c r="T18" s="836"/>
      <c r="U18" s="849"/>
      <c r="V18" s="849"/>
      <c r="W18" s="849"/>
      <c r="X18" s="849"/>
      <c r="Y18" s="849"/>
      <c r="Z18" s="849"/>
      <c r="AA18" s="849"/>
      <c r="AB18" s="836"/>
      <c r="AC18" s="847"/>
      <c r="AD18" s="847"/>
      <c r="AE18" s="847"/>
      <c r="AF18" s="847"/>
      <c r="AG18" s="847"/>
      <c r="AH18" s="847"/>
      <c r="AI18" s="847"/>
      <c r="AJ18" s="847"/>
      <c r="AK18" s="847"/>
      <c r="AL18" s="847"/>
      <c r="AM18" s="847"/>
      <c r="AN18" s="847"/>
      <c r="AO18" s="847"/>
      <c r="AP18" s="847"/>
      <c r="AQ18" s="847"/>
      <c r="AR18" s="847"/>
      <c r="AS18" s="847"/>
      <c r="AT18" s="847"/>
      <c r="AU18" s="847"/>
      <c r="AV18" s="847"/>
      <c r="AW18" s="847"/>
      <c r="AX18" s="847"/>
      <c r="AY18" s="847"/>
      <c r="AZ18" s="847"/>
      <c r="BA18" s="847"/>
      <c r="BB18" s="847"/>
      <c r="BC18" s="847"/>
      <c r="BD18" s="847"/>
      <c r="BE18" s="847"/>
      <c r="BF18" s="847"/>
      <c r="BG18" s="847"/>
      <c r="BH18" s="847"/>
      <c r="BI18" s="847"/>
      <c r="BJ18" s="847"/>
      <c r="BK18" s="847"/>
      <c r="BL18" s="847"/>
      <c r="BM18" s="847"/>
      <c r="BN18" s="847"/>
      <c r="BO18" s="847"/>
      <c r="BP18" s="847"/>
      <c r="BQ18" s="847"/>
      <c r="BR18" s="847"/>
      <c r="BS18" s="847"/>
      <c r="BT18" s="856"/>
      <c r="BU18" s="856"/>
      <c r="BV18" s="856"/>
      <c r="BW18" s="856"/>
      <c r="BX18" s="856"/>
      <c r="BY18" s="856"/>
      <c r="BZ18" s="856"/>
      <c r="CA18" s="856"/>
      <c r="CB18" s="856"/>
      <c r="CC18" s="856"/>
      <c r="CD18" s="856"/>
      <c r="CE18" s="856"/>
      <c r="CF18" s="856"/>
      <c r="CG18" s="856"/>
      <c r="CH18" s="856"/>
      <c r="CI18" s="856"/>
      <c r="CJ18" s="856"/>
      <c r="CK18" s="856"/>
      <c r="CL18" s="847"/>
      <c r="CM18" s="847"/>
      <c r="CN18" s="847"/>
      <c r="CO18" s="847"/>
      <c r="CP18" s="847"/>
      <c r="CQ18" s="847"/>
      <c r="CR18" s="847"/>
      <c r="CS18" s="847"/>
      <c r="CT18" s="847"/>
      <c r="CU18" s="847"/>
      <c r="CV18" s="847"/>
      <c r="CW18" s="847"/>
      <c r="CX18" s="847"/>
      <c r="CY18" s="856"/>
      <c r="CZ18" s="856"/>
      <c r="DA18" s="856"/>
      <c r="DB18" s="856"/>
      <c r="DC18" s="856"/>
      <c r="DD18" s="856"/>
      <c r="DE18" s="856"/>
      <c r="DF18" s="856"/>
      <c r="DG18" s="856"/>
      <c r="DH18" s="856"/>
      <c r="DI18" s="856"/>
      <c r="DJ18" s="856"/>
      <c r="DK18" s="847"/>
      <c r="DL18" s="847"/>
      <c r="DM18" s="847"/>
      <c r="DN18" s="847"/>
      <c r="DO18" s="847"/>
      <c r="DP18" s="847"/>
      <c r="DQ18" s="847"/>
      <c r="DR18" s="847"/>
      <c r="DS18" s="847"/>
      <c r="DT18" s="847"/>
      <c r="DU18" s="847"/>
      <c r="DV18" s="847"/>
      <c r="DW18" s="847"/>
      <c r="DX18" s="847"/>
      <c r="DY18" s="847"/>
      <c r="DZ18" s="847"/>
      <c r="EA18" s="847"/>
      <c r="EB18" s="847"/>
      <c r="EC18" s="847"/>
      <c r="ED18" s="847"/>
      <c r="EE18" s="847"/>
      <c r="EF18" s="847"/>
      <c r="EG18" s="847"/>
      <c r="EH18" s="847"/>
      <c r="EI18" s="847"/>
      <c r="EJ18" s="847"/>
      <c r="EK18" s="847"/>
      <c r="EL18" s="847"/>
      <c r="EM18" s="847"/>
      <c r="EN18" s="847"/>
      <c r="EO18" s="847"/>
      <c r="EP18" s="847"/>
      <c r="EQ18" s="847"/>
      <c r="ER18" s="847"/>
      <c r="ES18" s="847"/>
      <c r="ET18" s="847"/>
      <c r="EU18" s="847"/>
      <c r="EV18" s="847"/>
      <c r="EW18" s="847"/>
      <c r="EX18" s="847"/>
      <c r="EY18" s="847"/>
      <c r="EZ18" s="847"/>
      <c r="FA18" s="847"/>
      <c r="FB18" s="847"/>
      <c r="FC18" s="847"/>
      <c r="FD18" s="847"/>
      <c r="FE18" s="847"/>
      <c r="FF18" s="847"/>
      <c r="FG18" s="847"/>
      <c r="FH18" s="847"/>
      <c r="FI18" s="847"/>
      <c r="FJ18" s="847"/>
      <c r="FK18" s="847"/>
      <c r="FL18" s="847"/>
      <c r="FM18" s="847"/>
      <c r="FN18" s="847"/>
      <c r="FO18" s="847"/>
      <c r="FP18" s="847"/>
      <c r="FQ18" s="847"/>
      <c r="FR18" s="847"/>
      <c r="FS18" s="847"/>
      <c r="FT18" s="847"/>
      <c r="FU18" s="847"/>
      <c r="FV18" s="847"/>
      <c r="FW18" s="836"/>
      <c r="FX18" s="435"/>
      <c r="GC18" s="208">
        <v>0</v>
      </c>
    </row>
    <row r="19" s="208" customFormat="1" ht="11.25" hidden="1" customHeight="1" spans="2:185">
      <c r="B19" s="314"/>
      <c r="E19" s="315"/>
      <c r="F19" s="836"/>
      <c r="G19" s="836"/>
      <c r="H19" s="836"/>
      <c r="I19" s="836"/>
      <c r="J19" s="836"/>
      <c r="K19" s="836"/>
      <c r="L19" s="836"/>
      <c r="M19" s="836"/>
      <c r="N19" s="836"/>
      <c r="O19" s="836"/>
      <c r="P19" s="836"/>
      <c r="Q19" s="836"/>
      <c r="R19" s="836"/>
      <c r="S19" s="836"/>
      <c r="T19" s="836"/>
      <c r="U19" s="849"/>
      <c r="V19" s="849"/>
      <c r="W19" s="849"/>
      <c r="X19" s="849"/>
      <c r="Y19" s="849"/>
      <c r="Z19" s="849"/>
      <c r="AA19" s="849"/>
      <c r="AB19" s="836"/>
      <c r="AC19" s="836"/>
      <c r="AD19" s="836"/>
      <c r="AE19" s="836"/>
      <c r="AF19" s="836"/>
      <c r="AG19" s="836"/>
      <c r="AH19" s="836"/>
      <c r="AI19" s="836"/>
      <c r="AJ19" s="836"/>
      <c r="AK19" s="836"/>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836"/>
      <c r="BH19" s="836"/>
      <c r="BI19" s="836"/>
      <c r="BJ19" s="836"/>
      <c r="BK19" s="836"/>
      <c r="BL19" s="836"/>
      <c r="BM19" s="836"/>
      <c r="BN19" s="836"/>
      <c r="BO19" s="836"/>
      <c r="BP19" s="836"/>
      <c r="BQ19" s="836"/>
      <c r="BR19" s="836"/>
      <c r="BS19" s="836"/>
      <c r="BT19" s="836"/>
      <c r="BU19" s="836"/>
      <c r="BV19" s="836"/>
      <c r="BW19" s="836"/>
      <c r="BX19" s="836"/>
      <c r="BY19" s="836"/>
      <c r="BZ19" s="836"/>
      <c r="CA19" s="836"/>
      <c r="CB19" s="836"/>
      <c r="CC19" s="836"/>
      <c r="CD19" s="836"/>
      <c r="CE19" s="836"/>
      <c r="CF19" s="836"/>
      <c r="CG19" s="836"/>
      <c r="CH19" s="836"/>
      <c r="CI19" s="836"/>
      <c r="CJ19" s="836"/>
      <c r="CK19" s="836"/>
      <c r="CL19" s="836"/>
      <c r="CM19" s="836"/>
      <c r="CN19" s="836"/>
      <c r="CO19" s="836"/>
      <c r="CP19" s="836"/>
      <c r="CQ19" s="836"/>
      <c r="CR19" s="836"/>
      <c r="CS19" s="836"/>
      <c r="CT19" s="836"/>
      <c r="CU19" s="836"/>
      <c r="CV19" s="836"/>
      <c r="CW19" s="836"/>
      <c r="CX19" s="836"/>
      <c r="CY19" s="836"/>
      <c r="CZ19" s="836"/>
      <c r="DA19" s="836"/>
      <c r="DB19" s="836"/>
      <c r="DC19" s="836"/>
      <c r="DD19" s="836"/>
      <c r="DE19" s="836"/>
      <c r="DF19" s="836"/>
      <c r="DG19" s="836"/>
      <c r="DH19" s="836"/>
      <c r="DI19" s="836"/>
      <c r="DJ19" s="836"/>
      <c r="DK19" s="836"/>
      <c r="DL19" s="836"/>
      <c r="DM19" s="836"/>
      <c r="DN19" s="836"/>
      <c r="DO19" s="836"/>
      <c r="DP19" s="836"/>
      <c r="DQ19" s="836"/>
      <c r="DR19" s="836"/>
      <c r="DS19" s="836"/>
      <c r="DT19" s="836"/>
      <c r="DU19" s="836"/>
      <c r="DV19" s="836"/>
      <c r="DW19" s="836"/>
      <c r="DX19" s="836"/>
      <c r="DY19" s="836"/>
      <c r="DZ19" s="836"/>
      <c r="EA19" s="836"/>
      <c r="EB19" s="836"/>
      <c r="EC19" s="836"/>
      <c r="ED19" s="836"/>
      <c r="EE19" s="836"/>
      <c r="EF19" s="836"/>
      <c r="EG19" s="836"/>
      <c r="EH19" s="836"/>
      <c r="EI19" s="836"/>
      <c r="EJ19" s="836"/>
      <c r="EK19" s="836"/>
      <c r="EL19" s="836"/>
      <c r="EM19" s="836"/>
      <c r="EN19" s="836"/>
      <c r="EO19" s="836"/>
      <c r="EP19" s="836"/>
      <c r="EQ19" s="836"/>
      <c r="ER19" s="836"/>
      <c r="ES19" s="836"/>
      <c r="ET19" s="836"/>
      <c r="EU19" s="836"/>
      <c r="EV19" s="836"/>
      <c r="EW19" s="836"/>
      <c r="EX19" s="836"/>
      <c r="EY19" s="836"/>
      <c r="EZ19" s="836"/>
      <c r="FA19" s="836"/>
      <c r="FB19" s="836"/>
      <c r="FC19" s="836"/>
      <c r="FD19" s="836"/>
      <c r="FE19" s="836"/>
      <c r="FF19" s="836"/>
      <c r="FG19" s="836"/>
      <c r="FH19" s="836"/>
      <c r="FI19" s="836"/>
      <c r="FJ19" s="836"/>
      <c r="FK19" s="836"/>
      <c r="FL19" s="836"/>
      <c r="FM19" s="836"/>
      <c r="FN19" s="836"/>
      <c r="FO19" s="836"/>
      <c r="FP19" s="836"/>
      <c r="FQ19" s="836"/>
      <c r="FR19" s="836"/>
      <c r="FS19" s="836"/>
      <c r="FT19" s="836"/>
      <c r="FU19" s="836"/>
      <c r="FV19" s="836"/>
      <c r="FW19" s="836"/>
      <c r="FX19" s="435"/>
      <c r="GC19" s="208">
        <v>0</v>
      </c>
    </row>
    <row r="20" s="208" customFormat="1" ht="11.25" hidden="1" customHeight="1" spans="2:185">
      <c r="B20" s="314"/>
      <c r="E20" s="315"/>
      <c r="F20" s="837" t="s">
        <v>381</v>
      </c>
      <c r="G20" s="838"/>
      <c r="H20" s="839"/>
      <c r="I20" s="839"/>
      <c r="J20" s="839"/>
      <c r="K20" s="839"/>
      <c r="L20" s="839"/>
      <c r="M20" s="839"/>
      <c r="N20" s="839"/>
      <c r="O20" s="838"/>
      <c r="P20" s="838"/>
      <c r="Q20" s="838"/>
      <c r="R20" s="838"/>
      <c r="S20" s="838"/>
      <c r="T20" s="838"/>
      <c r="U20" s="850"/>
      <c r="V20" s="850"/>
      <c r="W20" s="850"/>
      <c r="X20" s="850"/>
      <c r="Y20" s="850"/>
      <c r="Z20" s="850"/>
      <c r="AA20" s="850"/>
      <c r="AB20" s="838"/>
      <c r="AC20" s="839"/>
      <c r="AD20" s="839"/>
      <c r="AE20" s="839"/>
      <c r="AF20" s="839"/>
      <c r="AG20" s="839"/>
      <c r="AH20" s="839"/>
      <c r="AI20" s="839"/>
      <c r="AJ20" s="839"/>
      <c r="AK20" s="839"/>
      <c r="AL20" s="839"/>
      <c r="AM20" s="839"/>
      <c r="AN20" s="839"/>
      <c r="AO20" s="839"/>
      <c r="AP20" s="839"/>
      <c r="AQ20" s="839"/>
      <c r="AR20" s="839"/>
      <c r="AS20" s="839"/>
      <c r="AT20" s="839"/>
      <c r="AU20" s="839"/>
      <c r="AV20" s="839"/>
      <c r="AW20" s="839"/>
      <c r="AX20" s="839"/>
      <c r="AY20" s="839"/>
      <c r="AZ20" s="839"/>
      <c r="BA20" s="839"/>
      <c r="BB20" s="839"/>
      <c r="BC20" s="839"/>
      <c r="BD20" s="839"/>
      <c r="BE20" s="839"/>
      <c r="BF20" s="839"/>
      <c r="BG20" s="839"/>
      <c r="BH20" s="839"/>
      <c r="BI20" s="839"/>
      <c r="BJ20" s="839"/>
      <c r="BK20" s="839"/>
      <c r="BL20" s="839"/>
      <c r="BM20" s="839"/>
      <c r="BN20" s="839"/>
      <c r="BO20" s="839"/>
      <c r="BP20" s="839"/>
      <c r="BQ20" s="839"/>
      <c r="BR20" s="839"/>
      <c r="BS20" s="839"/>
      <c r="BT20" s="839"/>
      <c r="BU20" s="839"/>
      <c r="BV20" s="839"/>
      <c r="BW20" s="839"/>
      <c r="BX20" s="839"/>
      <c r="BY20" s="839"/>
      <c r="BZ20" s="839"/>
      <c r="CA20" s="839"/>
      <c r="CB20" s="839"/>
      <c r="CC20" s="839"/>
      <c r="CD20" s="839"/>
      <c r="CE20" s="839"/>
      <c r="CF20" s="839"/>
      <c r="CG20" s="839"/>
      <c r="CH20" s="839"/>
      <c r="CI20" s="839"/>
      <c r="CJ20" s="839"/>
      <c r="CK20" s="839"/>
      <c r="CL20" s="434"/>
      <c r="CM20" s="434"/>
      <c r="CN20" s="434"/>
      <c r="CO20" s="434"/>
      <c r="CP20" s="434"/>
      <c r="CQ20" s="434"/>
      <c r="CR20" s="434"/>
      <c r="CS20" s="434"/>
      <c r="CT20" s="434"/>
      <c r="CU20" s="434"/>
      <c r="CV20" s="434"/>
      <c r="CW20" s="434"/>
      <c r="CX20" s="434"/>
      <c r="CY20" s="434"/>
      <c r="CZ20" s="434"/>
      <c r="DA20" s="434"/>
      <c r="DB20" s="434"/>
      <c r="DC20" s="434"/>
      <c r="DD20" s="434"/>
      <c r="DE20" s="434"/>
      <c r="DF20" s="434"/>
      <c r="DG20" s="434"/>
      <c r="DH20" s="434"/>
      <c r="DI20" s="434"/>
      <c r="DJ20" s="434"/>
      <c r="DK20" s="434"/>
      <c r="DL20" s="434"/>
      <c r="DM20" s="434"/>
      <c r="DN20" s="434"/>
      <c r="DO20" s="434"/>
      <c r="DP20" s="434"/>
      <c r="DQ20" s="434"/>
      <c r="DR20" s="434"/>
      <c r="DS20" s="434"/>
      <c r="DT20" s="434"/>
      <c r="DU20" s="434"/>
      <c r="DV20" s="434"/>
      <c r="DW20" s="434"/>
      <c r="DX20" s="434"/>
      <c r="DY20" s="434"/>
      <c r="DZ20" s="434"/>
      <c r="EA20" s="434"/>
      <c r="EB20" s="434"/>
      <c r="EC20" s="434"/>
      <c r="ED20" s="434"/>
      <c r="EE20" s="434"/>
      <c r="EF20" s="434"/>
      <c r="EG20" s="434"/>
      <c r="EH20" s="434"/>
      <c r="EI20" s="434"/>
      <c r="EJ20" s="434"/>
      <c r="EK20" s="434"/>
      <c r="EL20" s="434"/>
      <c r="EM20" s="434"/>
      <c r="EN20" s="434"/>
      <c r="EO20" s="434"/>
      <c r="EP20" s="434"/>
      <c r="EQ20" s="434"/>
      <c r="ER20" s="434"/>
      <c r="ES20" s="434"/>
      <c r="ET20" s="434"/>
      <c r="EU20" s="434"/>
      <c r="EV20" s="434"/>
      <c r="EW20" s="434"/>
      <c r="EX20" s="434"/>
      <c r="EY20" s="434"/>
      <c r="EZ20" s="434"/>
      <c r="FA20" s="434"/>
      <c r="FB20" s="434"/>
      <c r="FC20" s="434"/>
      <c r="FD20" s="434"/>
      <c r="FE20" s="434"/>
      <c r="FF20" s="434"/>
      <c r="FG20" s="434"/>
      <c r="FH20" s="434"/>
      <c r="FI20" s="434"/>
      <c r="FJ20" s="434"/>
      <c r="FK20" s="434"/>
      <c r="FL20" s="434"/>
      <c r="FM20" s="434"/>
      <c r="FN20" s="434"/>
      <c r="FO20" s="434"/>
      <c r="FP20" s="434"/>
      <c r="FQ20" s="434"/>
      <c r="FR20" s="434"/>
      <c r="FS20" s="434"/>
      <c r="FT20" s="434"/>
      <c r="FU20" s="434"/>
      <c r="FV20" s="434"/>
      <c r="FW20" s="434"/>
      <c r="FX20" s="435"/>
      <c r="GC20" s="208">
        <v>0</v>
      </c>
    </row>
    <row r="21" s="208" customFormat="1" ht="12.75" customHeight="1" spans="1:185">
      <c r="A21" s="437"/>
      <c r="B21" s="437"/>
      <c r="C21" s="437"/>
      <c r="D21" s="437"/>
      <c r="E21" s="437"/>
      <c r="F21" s="315"/>
      <c r="G21" s="315"/>
      <c r="H21" s="315"/>
      <c r="I21" s="315"/>
      <c r="J21" s="315"/>
      <c r="K21" s="315"/>
      <c r="L21" s="315"/>
      <c r="M21" s="315"/>
      <c r="N21" s="315"/>
      <c r="O21" s="315"/>
      <c r="P21" s="315"/>
      <c r="Q21" s="315"/>
      <c r="R21" s="315"/>
      <c r="S21" s="851"/>
      <c r="T21" s="851"/>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315"/>
      <c r="AS21" s="315"/>
      <c r="AT21" s="315"/>
      <c r="AU21" s="315"/>
      <c r="AV21" s="315"/>
      <c r="AW21" s="315"/>
      <c r="AX21" s="315"/>
      <c r="AY21" s="315"/>
      <c r="AZ21" s="315"/>
      <c r="BA21" s="315"/>
      <c r="BB21" s="315"/>
      <c r="BC21" s="315"/>
      <c r="BD21" s="315"/>
      <c r="BE21" s="315"/>
      <c r="BF21" s="315"/>
      <c r="BG21" s="315"/>
      <c r="BH21" s="315"/>
      <c r="BI21" s="315"/>
      <c r="BJ21" s="315"/>
      <c r="BK21" s="315"/>
      <c r="BL21" s="315"/>
      <c r="BM21" s="315"/>
      <c r="BN21" s="315"/>
      <c r="BO21" s="315"/>
      <c r="BP21" s="315"/>
      <c r="BQ21" s="315"/>
      <c r="BR21" s="315"/>
      <c r="BS21" s="315"/>
      <c r="BT21" s="315"/>
      <c r="BU21" s="315"/>
      <c r="BV21" s="315"/>
      <c r="BW21" s="315"/>
      <c r="BX21" s="315"/>
      <c r="BY21" s="315"/>
      <c r="BZ21" s="315"/>
      <c r="CA21" s="315"/>
      <c r="CB21" s="315"/>
      <c r="CC21" s="315"/>
      <c r="CD21" s="315"/>
      <c r="CE21" s="315"/>
      <c r="CF21" s="315"/>
      <c r="CG21" s="315"/>
      <c r="CH21" s="315"/>
      <c r="CI21" s="315"/>
      <c r="CJ21" s="315"/>
      <c r="CK21" s="315"/>
      <c r="CL21" s="315"/>
      <c r="CM21" s="315"/>
      <c r="CN21" s="315"/>
      <c r="CO21" s="315"/>
      <c r="CP21" s="315"/>
      <c r="CQ21" s="315"/>
      <c r="CR21" s="315"/>
      <c r="CS21" s="315"/>
      <c r="CT21" s="315"/>
      <c r="CU21" s="315"/>
      <c r="CV21" s="315"/>
      <c r="CW21" s="315"/>
      <c r="CX21" s="315"/>
      <c r="CY21" s="315"/>
      <c r="CZ21" s="315"/>
      <c r="DA21" s="315"/>
      <c r="DB21" s="315"/>
      <c r="DC21" s="315"/>
      <c r="DD21" s="315"/>
      <c r="DE21" s="315"/>
      <c r="DF21" s="315"/>
      <c r="DG21" s="315"/>
      <c r="DH21" s="315"/>
      <c r="DI21" s="315"/>
      <c r="DJ21" s="315"/>
      <c r="DK21" s="315"/>
      <c r="DL21" s="315"/>
      <c r="DM21" s="315"/>
      <c r="DN21" s="315"/>
      <c r="DO21" s="315"/>
      <c r="DP21" s="315"/>
      <c r="DQ21" s="315"/>
      <c r="DR21" s="315"/>
      <c r="DS21" s="315"/>
      <c r="DT21" s="315"/>
      <c r="DU21" s="315"/>
      <c r="DV21" s="315"/>
      <c r="DW21" s="315"/>
      <c r="DX21" s="315"/>
      <c r="DY21" s="315"/>
      <c r="DZ21" s="315"/>
      <c r="EA21" s="315"/>
      <c r="EB21" s="315"/>
      <c r="EC21" s="315"/>
      <c r="ED21" s="315"/>
      <c r="EE21" s="315"/>
      <c r="EF21" s="315"/>
      <c r="EG21" s="315"/>
      <c r="EH21" s="315"/>
      <c r="EI21" s="315"/>
      <c r="EJ21" s="315"/>
      <c r="EK21" s="315"/>
      <c r="EL21" s="315"/>
      <c r="EM21" s="315"/>
      <c r="EN21" s="315"/>
      <c r="EO21" s="315"/>
      <c r="EP21" s="315"/>
      <c r="EQ21" s="315"/>
      <c r="ER21" s="315"/>
      <c r="ES21" s="315"/>
      <c r="ET21" s="315"/>
      <c r="EU21" s="315"/>
      <c r="EV21" s="315"/>
      <c r="EW21" s="315"/>
      <c r="EX21" s="315"/>
      <c r="EY21" s="315"/>
      <c r="EZ21" s="315"/>
      <c r="FA21" s="315"/>
      <c r="FB21" s="315"/>
      <c r="FC21" s="315"/>
      <c r="FD21" s="315"/>
      <c r="FE21" s="315"/>
      <c r="FF21" s="315"/>
      <c r="FG21" s="315"/>
      <c r="FH21" s="315"/>
      <c r="FI21" s="315"/>
      <c r="FJ21" s="315"/>
      <c r="FK21" s="315"/>
      <c r="FL21" s="315"/>
      <c r="FM21" s="315"/>
      <c r="FN21" s="315"/>
      <c r="FO21" s="315"/>
      <c r="FP21" s="315"/>
      <c r="FQ21" s="315"/>
      <c r="FR21" s="315"/>
      <c r="FS21" s="315"/>
      <c r="FT21" s="315"/>
      <c r="FU21" s="315"/>
      <c r="FV21" s="315"/>
      <c r="FW21" s="315"/>
      <c r="FX21" s="437"/>
      <c r="FY21" s="437"/>
      <c r="FZ21" s="437"/>
      <c r="GA21" s="437"/>
      <c r="GB21" s="437"/>
      <c r="GC21" s="208">
        <v>12</v>
      </c>
    </row>
    <row r="22" s="208" customFormat="1" ht="12.75" customHeight="1" spans="1:185">
      <c r="A22" s="437"/>
      <c r="B22" s="437"/>
      <c r="C22" s="437"/>
      <c r="D22" s="437"/>
      <c r="E22" s="437"/>
      <c r="FX22" s="437"/>
      <c r="FY22" s="437"/>
      <c r="FZ22" s="437"/>
      <c r="GA22" s="437"/>
      <c r="GB22" s="437"/>
      <c r="GC22" s="208">
        <v>12</v>
      </c>
    </row>
    <row r="23" s="826" customFormat="1" ht="12.75" customHeight="1" spans="1:185">
      <c r="A23" s="437"/>
      <c r="B23" s="437"/>
      <c r="C23" s="437"/>
      <c r="D23" s="437"/>
      <c r="E23" s="437"/>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857"/>
      <c r="BU23" s="857"/>
      <c r="BV23" s="857"/>
      <c r="BW23" s="857"/>
      <c r="BX23" s="857"/>
      <c r="BY23" s="857"/>
      <c r="BZ23" s="857"/>
      <c r="CA23" s="857"/>
      <c r="CB23" s="857"/>
      <c r="CC23" s="857"/>
      <c r="CD23" s="857"/>
      <c r="CE23" s="857"/>
      <c r="CF23" s="857"/>
      <c r="CG23" s="857"/>
      <c r="CH23" s="857"/>
      <c r="CI23" s="857"/>
      <c r="CJ23" s="857"/>
      <c r="CK23" s="857"/>
      <c r="CL23" s="857"/>
      <c r="CM23" s="857"/>
      <c r="CN23" s="857"/>
      <c r="CO23" s="857"/>
      <c r="CP23" s="857"/>
      <c r="CQ23" s="857"/>
      <c r="CR23" s="857"/>
      <c r="CS23" s="857"/>
      <c r="CT23" s="857"/>
      <c r="CU23" s="857"/>
      <c r="CV23" s="857"/>
      <c r="CW23" s="857"/>
      <c r="CX23" s="857"/>
      <c r="CY23" s="857"/>
      <c r="CZ23" s="857"/>
      <c r="DA23" s="857"/>
      <c r="DB23" s="857"/>
      <c r="DC23" s="857"/>
      <c r="DD23" s="857"/>
      <c r="DE23" s="857"/>
      <c r="DF23" s="857"/>
      <c r="DG23" s="857"/>
      <c r="DH23" s="857"/>
      <c r="DI23" s="857"/>
      <c r="DJ23" s="857"/>
      <c r="DK23" s="857"/>
      <c r="DL23" s="857"/>
      <c r="DM23" s="857"/>
      <c r="DN23" s="857"/>
      <c r="DO23" s="857"/>
      <c r="DP23" s="857"/>
      <c r="DQ23" s="857"/>
      <c r="DR23" s="857"/>
      <c r="DS23" s="857"/>
      <c r="DT23" s="857"/>
      <c r="DU23" s="857"/>
      <c r="DV23" s="857"/>
      <c r="DW23" s="857"/>
      <c r="DX23" s="857"/>
      <c r="FX23" s="437"/>
      <c r="FY23" s="437"/>
      <c r="FZ23" s="437"/>
      <c r="GA23" s="437"/>
      <c r="GB23" s="437"/>
      <c r="GC23" s="826">
        <v>12</v>
      </c>
    </row>
    <row r="24" ht="12.75" customHeight="1" spans="19:185">
      <c r="S24" s="437"/>
      <c r="T24" s="437"/>
      <c r="U24" s="437"/>
      <c r="V24" s="437"/>
      <c r="W24" s="437"/>
      <c r="X24" s="437"/>
      <c r="Y24" s="437"/>
      <c r="Z24" s="437"/>
      <c r="AA24" s="437"/>
      <c r="AB24" s="437"/>
      <c r="FX24" s="437"/>
      <c r="FY24" s="437"/>
      <c r="FZ24" s="437"/>
      <c r="GA24" s="437"/>
      <c r="GB24" s="437"/>
      <c r="GC24" s="826">
        <v>12</v>
      </c>
    </row>
    <row r="25" hidden="1" customHeight="1" spans="1:185">
      <c r="A25" s="826" t="s">
        <v>83</v>
      </c>
      <c r="B25" s="827">
        <v>0</v>
      </c>
      <c r="C25" s="826">
        <v>0</v>
      </c>
      <c r="D25" s="826">
        <v>0</v>
      </c>
      <c r="E25" s="826">
        <v>3</v>
      </c>
      <c r="F25" s="826">
        <v>6</v>
      </c>
      <c r="G25" s="826">
        <v>18</v>
      </c>
      <c r="H25" s="826">
        <v>27</v>
      </c>
      <c r="I25" s="826">
        <v>18</v>
      </c>
      <c r="J25" s="826">
        <v>0</v>
      </c>
      <c r="K25" s="826">
        <v>0</v>
      </c>
      <c r="L25" s="826">
        <v>0</v>
      </c>
      <c r="M25" s="826">
        <v>0</v>
      </c>
      <c r="N25" s="826">
        <v>0</v>
      </c>
      <c r="O25" s="826">
        <v>0</v>
      </c>
      <c r="P25" s="826">
        <v>0</v>
      </c>
      <c r="Q25" s="826">
        <v>0</v>
      </c>
      <c r="R25" s="826">
        <v>0</v>
      </c>
      <c r="S25" s="826">
        <v>0</v>
      </c>
      <c r="T25" s="826">
        <v>0</v>
      </c>
      <c r="U25" s="826">
        <v>0</v>
      </c>
      <c r="V25" s="826">
        <v>0</v>
      </c>
      <c r="W25" s="826">
        <v>0</v>
      </c>
      <c r="X25" s="826">
        <v>0</v>
      </c>
      <c r="Y25" s="826">
        <v>0</v>
      </c>
      <c r="Z25" s="826">
        <v>0</v>
      </c>
      <c r="AA25" s="826">
        <v>0</v>
      </c>
      <c r="AB25" s="826">
        <v>0</v>
      </c>
      <c r="AC25" s="826">
        <v>0</v>
      </c>
      <c r="AD25" s="826">
        <v>0</v>
      </c>
      <c r="AE25" s="826">
        <v>0</v>
      </c>
      <c r="AF25" s="826">
        <v>0</v>
      </c>
      <c r="AG25" s="826">
        <v>0</v>
      </c>
      <c r="AH25" s="826">
        <v>0</v>
      </c>
      <c r="AI25" s="826">
        <v>0</v>
      </c>
      <c r="AJ25" s="826">
        <v>0</v>
      </c>
      <c r="AK25" s="826">
        <v>0</v>
      </c>
      <c r="AL25" s="826">
        <v>0</v>
      </c>
      <c r="AM25" s="826">
        <v>0</v>
      </c>
      <c r="AN25" s="826">
        <v>0</v>
      </c>
      <c r="AO25" s="826">
        <v>0</v>
      </c>
      <c r="AP25" s="826">
        <v>0</v>
      </c>
      <c r="AQ25" s="826">
        <v>0</v>
      </c>
      <c r="AR25" s="826">
        <v>0</v>
      </c>
      <c r="AS25" s="826">
        <v>0</v>
      </c>
      <c r="AT25" s="826">
        <v>0</v>
      </c>
      <c r="AU25" s="826">
        <v>0</v>
      </c>
      <c r="AV25" s="826">
        <v>0</v>
      </c>
      <c r="AW25" s="826">
        <v>0</v>
      </c>
      <c r="AX25" s="826">
        <v>0</v>
      </c>
      <c r="AY25" s="826">
        <v>0</v>
      </c>
      <c r="AZ25" s="826">
        <v>0</v>
      </c>
      <c r="BA25" s="826">
        <v>0</v>
      </c>
      <c r="BB25" s="826">
        <v>0</v>
      </c>
      <c r="BC25" s="826">
        <v>0</v>
      </c>
      <c r="BD25" s="826">
        <v>0</v>
      </c>
      <c r="BE25" s="826">
        <v>0</v>
      </c>
      <c r="BF25" s="826">
        <v>0</v>
      </c>
      <c r="BG25" s="826">
        <v>0</v>
      </c>
      <c r="BH25" s="826">
        <v>0</v>
      </c>
      <c r="BI25" s="826">
        <v>0</v>
      </c>
      <c r="BJ25" s="826">
        <v>0</v>
      </c>
      <c r="BK25" s="826">
        <v>0</v>
      </c>
      <c r="BL25" s="826">
        <v>0</v>
      </c>
      <c r="BM25" s="826">
        <v>0</v>
      </c>
      <c r="BN25" s="826">
        <v>0</v>
      </c>
      <c r="BO25" s="826">
        <v>0</v>
      </c>
      <c r="BP25" s="826">
        <v>0</v>
      </c>
      <c r="BQ25" s="826">
        <v>0</v>
      </c>
      <c r="BR25" s="826">
        <v>0</v>
      </c>
      <c r="BS25" s="826">
        <v>0</v>
      </c>
      <c r="BT25" s="826">
        <v>0</v>
      </c>
      <c r="BU25" s="826">
        <v>0</v>
      </c>
      <c r="BV25" s="826">
        <v>0</v>
      </c>
      <c r="BW25" s="826">
        <v>0</v>
      </c>
      <c r="BX25" s="826">
        <v>0</v>
      </c>
      <c r="BY25" s="826">
        <v>0</v>
      </c>
      <c r="BZ25" s="826">
        <v>0</v>
      </c>
      <c r="CA25" s="826">
        <v>0</v>
      </c>
      <c r="CB25" s="826">
        <v>0</v>
      </c>
      <c r="CC25" s="826">
        <v>0</v>
      </c>
      <c r="CD25" s="826">
        <v>0</v>
      </c>
      <c r="CE25" s="826">
        <v>0</v>
      </c>
      <c r="CF25" s="826">
        <v>0</v>
      </c>
      <c r="CG25" s="826">
        <v>0</v>
      </c>
      <c r="CH25" s="826">
        <v>0</v>
      </c>
      <c r="CI25" s="826">
        <v>0</v>
      </c>
      <c r="CJ25" s="826">
        <v>0</v>
      </c>
      <c r="CK25" s="826">
        <v>0</v>
      </c>
      <c r="CL25" s="826">
        <v>0</v>
      </c>
      <c r="CM25" s="826">
        <v>0</v>
      </c>
      <c r="CN25" s="826">
        <v>0</v>
      </c>
      <c r="CO25" s="826">
        <v>0</v>
      </c>
      <c r="CP25" s="826">
        <v>0</v>
      </c>
      <c r="CQ25" s="826">
        <v>0</v>
      </c>
      <c r="CR25" s="826">
        <v>0</v>
      </c>
      <c r="CS25" s="826">
        <v>0</v>
      </c>
      <c r="CT25" s="826">
        <v>0</v>
      </c>
      <c r="CU25" s="826">
        <v>0</v>
      </c>
      <c r="CV25" s="826">
        <v>0</v>
      </c>
      <c r="CW25" s="826">
        <v>0</v>
      </c>
      <c r="CX25" s="826">
        <v>0</v>
      </c>
      <c r="CY25" s="826">
        <v>0</v>
      </c>
      <c r="CZ25" s="826">
        <v>0</v>
      </c>
      <c r="DA25" s="826">
        <v>0</v>
      </c>
      <c r="DB25" s="826">
        <v>0</v>
      </c>
      <c r="DC25" s="826">
        <v>0</v>
      </c>
      <c r="DD25" s="826">
        <v>0</v>
      </c>
      <c r="DE25" s="826">
        <v>0</v>
      </c>
      <c r="DF25" s="826">
        <v>0</v>
      </c>
      <c r="DG25" s="826">
        <v>0</v>
      </c>
      <c r="DH25" s="826">
        <v>0</v>
      </c>
      <c r="DI25" s="826">
        <v>0</v>
      </c>
      <c r="DJ25" s="826">
        <v>0</v>
      </c>
      <c r="DK25" s="826">
        <v>0</v>
      </c>
      <c r="DL25" s="826">
        <v>0</v>
      </c>
      <c r="DM25" s="826">
        <v>0</v>
      </c>
      <c r="DN25" s="826">
        <v>0</v>
      </c>
      <c r="DO25" s="826">
        <v>0</v>
      </c>
      <c r="DP25" s="826">
        <v>0</v>
      </c>
      <c r="DQ25" s="826">
        <v>0</v>
      </c>
      <c r="DR25" s="826">
        <v>0</v>
      </c>
      <c r="DS25" s="826">
        <v>0</v>
      </c>
      <c r="DT25" s="826">
        <v>0</v>
      </c>
      <c r="DU25" s="826">
        <v>0</v>
      </c>
      <c r="DV25" s="826">
        <v>0</v>
      </c>
      <c r="DW25" s="826">
        <v>0</v>
      </c>
      <c r="DX25" s="826">
        <v>0</v>
      </c>
      <c r="DY25" s="826">
        <v>0</v>
      </c>
      <c r="DZ25" s="826">
        <v>0</v>
      </c>
      <c r="EA25" s="826">
        <v>0</v>
      </c>
      <c r="EB25" s="826">
        <v>0</v>
      </c>
      <c r="EC25" s="826">
        <v>0</v>
      </c>
      <c r="ED25" s="826">
        <v>0</v>
      </c>
      <c r="EE25" s="826">
        <v>0</v>
      </c>
      <c r="EF25" s="826">
        <v>0</v>
      </c>
      <c r="EG25" s="826">
        <v>0</v>
      </c>
      <c r="EH25" s="826">
        <v>0</v>
      </c>
      <c r="EI25" s="826">
        <v>0</v>
      </c>
      <c r="EJ25" s="826">
        <v>0</v>
      </c>
      <c r="EK25" s="826">
        <v>0</v>
      </c>
      <c r="EL25" s="826">
        <v>0</v>
      </c>
      <c r="EM25" s="826">
        <v>0</v>
      </c>
      <c r="EN25" s="826">
        <v>0</v>
      </c>
      <c r="EO25" s="826">
        <v>0</v>
      </c>
      <c r="EP25" s="826">
        <v>0</v>
      </c>
      <c r="EQ25" s="826">
        <v>0</v>
      </c>
      <c r="ER25" s="826">
        <v>0</v>
      </c>
      <c r="ES25" s="826">
        <v>0</v>
      </c>
      <c r="ET25" s="826">
        <v>0</v>
      </c>
      <c r="EU25" s="826">
        <v>0</v>
      </c>
      <c r="EV25" s="826">
        <v>0</v>
      </c>
      <c r="EW25" s="826">
        <v>0</v>
      </c>
      <c r="EX25" s="826">
        <v>0</v>
      </c>
      <c r="EY25" s="826">
        <v>0</v>
      </c>
      <c r="EZ25" s="826">
        <v>0</v>
      </c>
      <c r="FA25" s="826">
        <v>0</v>
      </c>
      <c r="FB25" s="826">
        <v>0</v>
      </c>
      <c r="FC25" s="826">
        <v>0</v>
      </c>
      <c r="FD25" s="826">
        <v>0</v>
      </c>
      <c r="FE25" s="826">
        <v>0</v>
      </c>
      <c r="FF25" s="826">
        <v>0</v>
      </c>
      <c r="FG25" s="826">
        <v>0</v>
      </c>
      <c r="FH25" s="826">
        <v>0</v>
      </c>
      <c r="FI25" s="826">
        <v>0</v>
      </c>
      <c r="FJ25" s="826">
        <v>0</v>
      </c>
      <c r="FK25" s="826">
        <v>0</v>
      </c>
      <c r="FL25" s="826">
        <v>0</v>
      </c>
      <c r="FM25" s="826">
        <v>0</v>
      </c>
      <c r="FN25" s="826">
        <v>0</v>
      </c>
      <c r="FO25" s="826">
        <v>0</v>
      </c>
      <c r="FP25" s="826">
        <v>0</v>
      </c>
      <c r="FQ25" s="826">
        <v>0</v>
      </c>
      <c r="FR25" s="826">
        <v>0</v>
      </c>
      <c r="FS25" s="826">
        <v>0</v>
      </c>
      <c r="FT25" s="826">
        <v>0</v>
      </c>
      <c r="FU25" s="826">
        <v>0</v>
      </c>
      <c r="FV25" s="826">
        <v>0</v>
      </c>
      <c r="FW25" s="826">
        <v>0</v>
      </c>
      <c r="FX25" s="826">
        <v>8</v>
      </c>
      <c r="FY25" s="826">
        <v>8</v>
      </c>
      <c r="FZ25" s="826">
        <v>8</v>
      </c>
      <c r="GA25" s="826">
        <v>8</v>
      </c>
      <c r="GB25" s="826">
        <v>8</v>
      </c>
      <c r="GC25" s="826">
        <v>12</v>
      </c>
    </row>
  </sheetData>
  <sheetProtection formatColumns="0" formatRows="0" insertRows="0" deleteColumns="0" deleteRows="0" sort="0" autoFilter="0"/>
  <mergeCells count="198">
    <mergeCell ref="F5:BS5"/>
    <mergeCell ref="F6:BS6"/>
    <mergeCell ref="O8:BS8"/>
    <mergeCell ref="BT8:CX8"/>
    <mergeCell ref="CY8:DX8"/>
    <mergeCell ref="DY8:FV8"/>
    <mergeCell ref="F10:FV10"/>
    <mergeCell ref="O11:AB11"/>
    <mergeCell ref="BT11:CK11"/>
    <mergeCell ref="CY11:DJ11"/>
    <mergeCell ref="O12:R12"/>
    <mergeCell ref="S12:AB12"/>
    <mergeCell ref="BT12:BW12"/>
    <mergeCell ref="BX12:CA12"/>
    <mergeCell ref="CB12:CC12"/>
    <mergeCell ref="CD12:CK12"/>
    <mergeCell ref="CY12:DD12"/>
    <mergeCell ref="DE12:DF12"/>
    <mergeCell ref="DG12:DJ12"/>
    <mergeCell ref="O13:R13"/>
    <mergeCell ref="U13:X13"/>
    <mergeCell ref="Y13:AB13"/>
    <mergeCell ref="CH13:CK13"/>
    <mergeCell ref="DG13:DJ13"/>
    <mergeCell ref="O16:P16"/>
    <mergeCell ref="Q16:R16"/>
    <mergeCell ref="S16:T16"/>
    <mergeCell ref="U16:V16"/>
    <mergeCell ref="W16:X16"/>
    <mergeCell ref="Y16:Z16"/>
    <mergeCell ref="AA16:AB16"/>
    <mergeCell ref="BT16:BU16"/>
    <mergeCell ref="BV16:BW16"/>
    <mergeCell ref="BX16:BY16"/>
    <mergeCell ref="BZ16:CA16"/>
    <mergeCell ref="CB16:CC16"/>
    <mergeCell ref="CD16:CE16"/>
    <mergeCell ref="CF16:CG16"/>
    <mergeCell ref="CH16:CI16"/>
    <mergeCell ref="CJ16:CK16"/>
    <mergeCell ref="CY16:CZ16"/>
    <mergeCell ref="DA16:DB16"/>
    <mergeCell ref="DC16:DD16"/>
    <mergeCell ref="DE16:DF16"/>
    <mergeCell ref="DG16:DH16"/>
    <mergeCell ref="DI16:DJ16"/>
    <mergeCell ref="F11:F17"/>
    <mergeCell ref="G11:G17"/>
    <mergeCell ref="H11:H17"/>
    <mergeCell ref="I11:I17"/>
    <mergeCell ref="J11:J17"/>
    <mergeCell ref="K11:K17"/>
    <mergeCell ref="L11:L17"/>
    <mergeCell ref="M11:M17"/>
    <mergeCell ref="N11:N17"/>
    <mergeCell ref="AC11:AC17"/>
    <mergeCell ref="AD11:AD17"/>
    <mergeCell ref="AE11:AE17"/>
    <mergeCell ref="AF11:AF17"/>
    <mergeCell ref="AG11:AG17"/>
    <mergeCell ref="AH11:AH17"/>
    <mergeCell ref="AI11:AI17"/>
    <mergeCell ref="AJ11:AJ17"/>
    <mergeCell ref="AK11:AK17"/>
    <mergeCell ref="AL11:AL17"/>
    <mergeCell ref="AM11:AM17"/>
    <mergeCell ref="AN11:AN17"/>
    <mergeCell ref="AO11:AO17"/>
    <mergeCell ref="AP11:AP17"/>
    <mergeCell ref="AQ11:AQ17"/>
    <mergeCell ref="AR11:AR17"/>
    <mergeCell ref="AS11:AS17"/>
    <mergeCell ref="AT11:AT17"/>
    <mergeCell ref="AU11:AU17"/>
    <mergeCell ref="AV11:AV17"/>
    <mergeCell ref="AW11:AW17"/>
    <mergeCell ref="AX11:AX17"/>
    <mergeCell ref="AY11:AY17"/>
    <mergeCell ref="AZ11:AZ17"/>
    <mergeCell ref="BA11:BA17"/>
    <mergeCell ref="BB11:BB17"/>
    <mergeCell ref="BC11:BC17"/>
    <mergeCell ref="BD11:BD17"/>
    <mergeCell ref="BE11:BE17"/>
    <mergeCell ref="BF11:BF17"/>
    <mergeCell ref="BG11:BG17"/>
    <mergeCell ref="BH11:BH17"/>
    <mergeCell ref="BI11:BI17"/>
    <mergeCell ref="BJ11:BJ17"/>
    <mergeCell ref="BK11:BK17"/>
    <mergeCell ref="BL11:BL17"/>
    <mergeCell ref="BM11:BM17"/>
    <mergeCell ref="BN11:BN17"/>
    <mergeCell ref="BO11:BO17"/>
    <mergeCell ref="BP11:BP17"/>
    <mergeCell ref="BQ11:BQ17"/>
    <mergeCell ref="BR11:BR17"/>
    <mergeCell ref="BS11:BS17"/>
    <mergeCell ref="CL11:CL17"/>
    <mergeCell ref="CM11:CM17"/>
    <mergeCell ref="CN11:CN17"/>
    <mergeCell ref="CO11:CO17"/>
    <mergeCell ref="CP11:CP17"/>
    <mergeCell ref="CQ11:CQ17"/>
    <mergeCell ref="CR11:CR17"/>
    <mergeCell ref="CS11:CS17"/>
    <mergeCell ref="CT11:CT17"/>
    <mergeCell ref="CU11:CU17"/>
    <mergeCell ref="CV11:CV17"/>
    <mergeCell ref="CW11:CW17"/>
    <mergeCell ref="CX11:CX17"/>
    <mergeCell ref="DK11:DK17"/>
    <mergeCell ref="DL11:DL17"/>
    <mergeCell ref="DM11:DM17"/>
    <mergeCell ref="DN11:DN17"/>
    <mergeCell ref="DO11:DO17"/>
    <mergeCell ref="DP11:DP17"/>
    <mergeCell ref="DQ11:DQ17"/>
    <mergeCell ref="DR11:DR17"/>
    <mergeCell ref="DS11:DS17"/>
    <mergeCell ref="DT11:DT17"/>
    <mergeCell ref="DU11:DU17"/>
    <mergeCell ref="DV11:DV17"/>
    <mergeCell ref="DW11:DW17"/>
    <mergeCell ref="DX11:DX17"/>
    <mergeCell ref="DY11:DY17"/>
    <mergeCell ref="DZ11:DZ17"/>
    <mergeCell ref="EA11:EA17"/>
    <mergeCell ref="EB11:EB17"/>
    <mergeCell ref="EC11:EC17"/>
    <mergeCell ref="ED11:ED17"/>
    <mergeCell ref="EE11:EE17"/>
    <mergeCell ref="EF11:EF17"/>
    <mergeCell ref="EG11:EG17"/>
    <mergeCell ref="EH11:EH17"/>
    <mergeCell ref="EI11:EI17"/>
    <mergeCell ref="EJ11:EJ17"/>
    <mergeCell ref="EK11:EK17"/>
    <mergeCell ref="EL11:EL17"/>
    <mergeCell ref="EM11:EM17"/>
    <mergeCell ref="EN11:EN17"/>
    <mergeCell ref="EO11:EO17"/>
    <mergeCell ref="EP11:EP17"/>
    <mergeCell ref="EQ11:EQ17"/>
    <mergeCell ref="ER11:ER17"/>
    <mergeCell ref="ES11:ES17"/>
    <mergeCell ref="ET11:ET17"/>
    <mergeCell ref="EU11:EU17"/>
    <mergeCell ref="EV11:EV17"/>
    <mergeCell ref="EW11:EW17"/>
    <mergeCell ref="EX11:EX17"/>
    <mergeCell ref="EY11:EY17"/>
    <mergeCell ref="EZ11:EZ17"/>
    <mergeCell ref="FA11:FA17"/>
    <mergeCell ref="FB11:FB17"/>
    <mergeCell ref="FC11:FC17"/>
    <mergeCell ref="FD11:FD17"/>
    <mergeCell ref="FE11:FE17"/>
    <mergeCell ref="FF11:FF17"/>
    <mergeCell ref="FG11:FG17"/>
    <mergeCell ref="FH11:FH17"/>
    <mergeCell ref="FI11:FI17"/>
    <mergeCell ref="FJ11:FJ17"/>
    <mergeCell ref="FK11:FK17"/>
    <mergeCell ref="FL11:FL17"/>
    <mergeCell ref="FM11:FM17"/>
    <mergeCell ref="FN11:FN17"/>
    <mergeCell ref="FO11:FO17"/>
    <mergeCell ref="FP11:FP17"/>
    <mergeCell ref="FQ11:FQ17"/>
    <mergeCell ref="FR11:FR17"/>
    <mergeCell ref="FS11:FS17"/>
    <mergeCell ref="FT11:FT17"/>
    <mergeCell ref="FU11:FU17"/>
    <mergeCell ref="FV11:FV17"/>
    <mergeCell ref="FW8:FW17"/>
    <mergeCell ref="CH14:CI15"/>
    <mergeCell ref="CJ14:CK15"/>
    <mergeCell ref="S13:T15"/>
    <mergeCell ref="CY13:CZ15"/>
    <mergeCell ref="DA13:DB15"/>
    <mergeCell ref="DC13:DD15"/>
    <mergeCell ref="DE13:DF15"/>
    <mergeCell ref="O14:P15"/>
    <mergeCell ref="Q14:R15"/>
    <mergeCell ref="U14:V15"/>
    <mergeCell ref="W14:X15"/>
    <mergeCell ref="Y14:Z15"/>
    <mergeCell ref="AA14:AB15"/>
    <mergeCell ref="DG14:DH15"/>
    <mergeCell ref="DI14:DJ15"/>
    <mergeCell ref="BT13:BU15"/>
    <mergeCell ref="BV13:BW15"/>
    <mergeCell ref="BX13:BY15"/>
    <mergeCell ref="BZ13:CA15"/>
    <mergeCell ref="CB13:CC15"/>
    <mergeCell ref="CD13:CE15"/>
    <mergeCell ref="CF13:CG15"/>
  </mergeCells>
  <dataValidations count="1">
    <dataValidation allowBlank="1" showInputMessage="1" showErrorMessage="1" sqref="U16:Z16 AA14:AB16"/>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1"/>
  </sheetPr>
  <dimension ref="A1:S23"/>
  <sheetViews>
    <sheetView showGridLines="0" zoomScale="90" zoomScaleNormal="90" workbookViewId="0">
      <pane xSplit="7" ySplit="14" topLeftCell="H15" activePane="bottomRight" state="frozen"/>
      <selection/>
      <selection pane="topRight"/>
      <selection pane="bottomLeft"/>
      <selection pane="bottomRight" activeCell="A1" sqref="A1"/>
    </sheetView>
  </sheetViews>
  <sheetFormatPr defaultColWidth="10.5714285714286" defaultRowHeight="15" customHeight="1"/>
  <cols>
    <col min="1" max="1" width="9.14285714285714" style="572" hidden="1" customWidth="1"/>
    <col min="2" max="2" width="9.14285714285714" style="42" hidden="1" customWidth="1"/>
    <col min="3" max="3" width="4" style="234" customWidth="1"/>
    <col min="4" max="4" width="6" style="42" customWidth="1"/>
    <col min="5" max="5" width="36" style="42" customWidth="1"/>
    <col min="6" max="6" width="9" style="42" customWidth="1"/>
    <col min="7" max="7" width="42.4190476190476" style="42" hidden="1" customWidth="1"/>
    <col min="8" max="8" width="40.7142857142857" style="42" customWidth="1"/>
    <col min="9" max="9" width="93" style="37" customWidth="1"/>
    <col min="10" max="17" width="10" style="42" customWidth="1"/>
    <col min="18" max="18" width="10" style="749" customWidth="1"/>
    <col min="19" max="19" width="10.5714285714286" style="42" hidden="1"/>
  </cols>
  <sheetData>
    <row r="1" s="37" customFormat="1" hidden="1" customHeight="1" spans="3:19">
      <c r="C1" s="47"/>
      <c r="H1" s="37">
        <v>4</v>
      </c>
      <c r="R1" s="287"/>
      <c r="S1" s="37" t="s">
        <v>14</v>
      </c>
    </row>
    <row r="2" ht="22.5" hidden="1" customHeight="1" spans="3:19">
      <c r="C2" s="583" t="s">
        <v>521</v>
      </c>
      <c r="D2" s="231"/>
      <c r="E2" s="212"/>
      <c r="F2" s="63" t="str">
        <f>IF(TEMPLATE_SPHERE="HEAT","Гкал/час","тыс. куб. м/сутки")</f>
        <v>тыс. куб. м/сутки</v>
      </c>
      <c r="G2" s="761"/>
      <c r="H2" s="761"/>
      <c r="I2" s="82"/>
      <c r="S2" s="42">
        <v>0</v>
      </c>
    </row>
    <row r="3" s="37" customFormat="1" hidden="1" customHeight="1" spans="3:19">
      <c r="C3" s="47"/>
      <c r="R3" s="287"/>
      <c r="S3" s="37">
        <v>0</v>
      </c>
    </row>
    <row r="4" ht="15.75" customHeight="1" spans="19:19">
      <c r="S4" s="42">
        <v>15</v>
      </c>
    </row>
    <row r="5" ht="39.75" customHeight="1" spans="4:19">
      <c r="D5" s="75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750"/>
      <c r="F5" s="750"/>
      <c r="G5" s="750"/>
      <c r="H5" s="750"/>
      <c r="S5" s="42">
        <v>38</v>
      </c>
    </row>
    <row r="6" ht="15.75" customHeight="1" spans="4:19">
      <c r="D6" s="657" t="str">
        <f>IF(org=0,"Не определено",org)</f>
        <v>АО "ОЭЗ ППТ "Алабуга"</v>
      </c>
      <c r="E6" s="657"/>
      <c r="F6" s="657"/>
      <c r="G6" s="657"/>
      <c r="H6" s="657"/>
      <c r="S6" s="42">
        <v>15</v>
      </c>
    </row>
    <row r="7" s="42" customFormat="1" ht="15.75" customHeight="1" spans="1:19">
      <c r="A7" s="572"/>
      <c r="C7" s="234"/>
      <c r="D7" s="41"/>
      <c r="E7" s="41"/>
      <c r="F7" s="41"/>
      <c r="G7" s="41"/>
      <c r="H7" s="574"/>
      <c r="I7" s="37"/>
      <c r="R7" s="749"/>
      <c r="S7" s="42">
        <v>15</v>
      </c>
    </row>
    <row r="8" ht="1.05" customHeight="1" spans="8:19">
      <c r="H8" s="37" t="s">
        <v>119</v>
      </c>
      <c r="S8" s="42">
        <v>1</v>
      </c>
    </row>
    <row r="9" ht="15.75" customHeight="1" spans="4:19">
      <c r="D9" s="751"/>
      <c r="E9" s="752" t="s">
        <v>107</v>
      </c>
      <c r="F9" s="753"/>
      <c r="G9" s="754" t="str">
        <f>IF(G8="","",INDEX(DIFFERENTIATION_UNMERGE_VD,MATCH(G8,DIFFERENTIATION_ID_DIFF,0)))</f>
        <v/>
      </c>
      <c r="H9" s="754">
        <f>IF(H8="","",INDEX(DIFFERENTIATION_UNMERGE_VD,MATCH(H8,DIFFERENTIATION_ID_DIFF,0)))</f>
        <v>0</v>
      </c>
      <c r="I9" s="63" t="s">
        <v>306</v>
      </c>
      <c r="S9" s="42">
        <v>15</v>
      </c>
    </row>
    <row r="10" s="42" customFormat="1" ht="15.75" customHeight="1" spans="1:19">
      <c r="A10" s="572"/>
      <c r="C10" s="234"/>
      <c r="D10" s="751"/>
      <c r="E10" s="752" t="s">
        <v>574</v>
      </c>
      <c r="F10" s="753"/>
      <c r="G10" s="754" t="str">
        <f>IF(G8="","",INDEX(DIFFERENTIATION_UNMERGE_AREA,MATCH(G8,DIFFERENTIATION_ID_DIFF,0)))</f>
        <v/>
      </c>
      <c r="H10" s="754" t="str">
        <f>IF(H8="","",INDEX(DIFFERENTIATION_UNMERGE_AREA,MATCH(H8,DIFFERENTIATION_ID_DIFF,0)))</f>
        <v/>
      </c>
      <c r="I10" s="63"/>
      <c r="R10" s="749"/>
      <c r="S10" s="42">
        <v>15</v>
      </c>
    </row>
    <row r="11" s="42" customFormat="1" ht="15.75" customHeight="1" spans="1:19">
      <c r="A11" s="572"/>
      <c r="C11" s="234"/>
      <c r="D11" s="751"/>
      <c r="E11" s="752" t="s">
        <v>575</v>
      </c>
      <c r="F11" s="753"/>
      <c r="G11" s="754" t="str">
        <f>IF(G8="","",INDEX(DIFFERENTIATION_UNMERGE_SYSTEM,MATCH(G8,DIFFERENTIATION_ID_DIFF,0)))</f>
        <v/>
      </c>
      <c r="H11" s="754" t="str">
        <f>IF(H8="","",INDEX(DIFFERENTIATION_UNMERGE_SYSTEM,MATCH(H8,DIFFERENTIATION_ID_DIFF,0)))</f>
        <v>без дифференциации</v>
      </c>
      <c r="I11" s="63"/>
      <c r="R11" s="749"/>
      <c r="S11" s="42">
        <v>15</v>
      </c>
    </row>
    <row r="12" s="42" customFormat="1" ht="15.75" customHeight="1" spans="1:19">
      <c r="A12" s="572"/>
      <c r="C12" s="234"/>
      <c r="D12" s="756" t="s">
        <v>305</v>
      </c>
      <c r="E12" s="757"/>
      <c r="F12" s="757"/>
      <c r="G12" s="752"/>
      <c r="H12" s="752"/>
      <c r="I12" s="63"/>
      <c r="R12" s="749"/>
      <c r="S12" s="42">
        <v>15</v>
      </c>
    </row>
    <row r="13" ht="35.7" customHeight="1" spans="4:19">
      <c r="D13" s="63" t="s">
        <v>89</v>
      </c>
      <c r="E13" s="63" t="s">
        <v>307</v>
      </c>
      <c r="F13" s="63" t="s">
        <v>576</v>
      </c>
      <c r="G13" s="125" t="s">
        <v>308</v>
      </c>
      <c r="H13" s="125" t="s">
        <v>308</v>
      </c>
      <c r="I13" s="63"/>
      <c r="S13" s="42">
        <v>34</v>
      </c>
    </row>
    <row r="14" hidden="1" customHeight="1" spans="4:19">
      <c r="D14" s="758" t="s">
        <v>111</v>
      </c>
      <c r="E14" s="758" t="s">
        <v>112</v>
      </c>
      <c r="F14" s="758" t="s">
        <v>91</v>
      </c>
      <c r="G14" s="234" t="str">
        <f>G1&amp;".1"</f>
        <v>.1</v>
      </c>
      <c r="H14" s="234" t="str">
        <f>H1&amp;".1"</f>
        <v>4.1</v>
      </c>
      <c r="I14" s="82"/>
      <c r="S14" s="42">
        <v>0</v>
      </c>
    </row>
    <row r="15" ht="15.75" customHeight="1" spans="1:19">
      <c r="A15" s="42"/>
      <c r="C15" s="216"/>
      <c r="D15" s="63">
        <v>1</v>
      </c>
      <c r="E15" s="452" t="str">
        <f>TP_P_A</f>
        <v>Количество поданных заявлений </v>
      </c>
      <c r="F15" s="63" t="s">
        <v>1124</v>
      </c>
      <c r="G15" s="820"/>
      <c r="H15" s="820"/>
      <c r="I15" s="80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2">
        <v>15</v>
      </c>
    </row>
    <row r="16" ht="15.75" customHeight="1" spans="1:19">
      <c r="A16" s="42"/>
      <c r="C16" s="216"/>
      <c r="D16" s="63">
        <v>2</v>
      </c>
      <c r="E16" s="452" t="str">
        <f>TP_P_B</f>
        <v>Количество исполненных заявлений </v>
      </c>
      <c r="F16" s="63" t="s">
        <v>1124</v>
      </c>
      <c r="G16" s="820"/>
      <c r="H16" s="820"/>
      <c r="I16" s="80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2">
        <v>15</v>
      </c>
    </row>
    <row r="17" ht="77.7" customHeight="1" spans="1:19">
      <c r="A17" s="42"/>
      <c r="C17" s="216"/>
      <c r="D17" s="63">
        <v>3</v>
      </c>
      <c r="E17" s="4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63" t="s">
        <v>1124</v>
      </c>
      <c r="G17" s="820"/>
      <c r="H17" s="820"/>
      <c r="I17" s="80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2">
        <v>74</v>
      </c>
    </row>
    <row r="18" ht="54.75" customHeight="1" spans="1:19">
      <c r="A18" s="42"/>
      <c r="C18" s="216"/>
      <c r="D18" s="63">
        <v>4</v>
      </c>
      <c r="E18" s="4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63" t="s">
        <v>311</v>
      </c>
      <c r="G18" s="821"/>
      <c r="H18" s="821"/>
      <c r="I18" s="45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42">
        <v>52</v>
      </c>
    </row>
    <row r="19" ht="60" customHeight="1" spans="1:19">
      <c r="A19" s="42"/>
      <c r="C19" s="216"/>
      <c r="D19" s="63">
        <v>5</v>
      </c>
      <c r="E19" s="4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63" t="str">
        <f>IF(TEMPLATE_SPHERE="HEAT","Гкал/час","тыс. куб. м/сутки")</f>
        <v>тыс. куб. м/сутки</v>
      </c>
      <c r="G19" s="822">
        <f>SUM(G20:G22)</f>
        <v>0</v>
      </c>
      <c r="H19" s="822">
        <f>SUM(H20:H22)</f>
        <v>0</v>
      </c>
      <c r="I19" s="80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2">
        <v>57</v>
      </c>
    </row>
    <row r="20" hidden="1" customHeight="1" spans="4:19">
      <c r="D20" s="42" t="s">
        <v>1125</v>
      </c>
      <c r="E20" s="41"/>
      <c r="I20" s="823"/>
      <c r="S20" s="42">
        <v>0</v>
      </c>
    </row>
    <row r="21" ht="29.25" customHeight="1" spans="3:19">
      <c r="C21" s="216"/>
      <c r="D21" s="231" t="s">
        <v>318</v>
      </c>
      <c r="E21" s="446"/>
      <c r="F21" s="63" t="str">
        <f>IF(TEMPLATE_SPHERE="HEAT","Гкал/час","тыс. куб. м/сутки")</f>
        <v>тыс. куб. м/сутки</v>
      </c>
      <c r="G21" s="761"/>
      <c r="H21" s="761"/>
      <c r="I21" s="58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2">
        <v>28</v>
      </c>
    </row>
    <row r="22" ht="15.75" customHeight="1" spans="1:19">
      <c r="A22" s="42"/>
      <c r="C22" s="42"/>
      <c r="D22" s="400"/>
      <c r="E22" s="226" t="s">
        <v>1126</v>
      </c>
      <c r="F22" s="401"/>
      <c r="G22" s="401"/>
      <c r="H22" s="401"/>
      <c r="I22" s="581"/>
      <c r="R22" s="42"/>
      <c r="S22" s="42">
        <v>15</v>
      </c>
    </row>
    <row r="23" ht="22.5" hidden="1" customHeight="1" spans="1:19">
      <c r="A23" s="572" t="s">
        <v>83</v>
      </c>
      <c r="B23" s="42">
        <v>0</v>
      </c>
      <c r="C23" s="234">
        <v>4</v>
      </c>
      <c r="D23" s="42">
        <v>6</v>
      </c>
      <c r="E23" s="42">
        <v>36</v>
      </c>
      <c r="F23" s="42">
        <v>9</v>
      </c>
      <c r="G23" s="42">
        <v>0</v>
      </c>
      <c r="H23" s="42">
        <v>40</v>
      </c>
      <c r="I23" s="37">
        <v>93</v>
      </c>
      <c r="J23" s="42">
        <v>10</v>
      </c>
      <c r="K23" s="42">
        <v>10</v>
      </c>
      <c r="L23" s="42">
        <v>10</v>
      </c>
      <c r="M23" s="42">
        <v>10</v>
      </c>
      <c r="N23" s="42">
        <v>10</v>
      </c>
      <c r="O23" s="42">
        <v>10</v>
      </c>
      <c r="P23" s="42">
        <v>10</v>
      </c>
      <c r="Q23" s="42">
        <v>10</v>
      </c>
      <c r="R23" s="749">
        <v>10</v>
      </c>
      <c r="S23" s="42">
        <v>23</v>
      </c>
    </row>
  </sheetData>
  <sheetProtection formatColumns="0" formatRows="0" insertRows="0" deleteColumns="0" deleteRows="0" sort="0" autoFilter="0"/>
  <mergeCells count="8">
    <mergeCell ref="D5:H5"/>
    <mergeCell ref="D6:H6"/>
    <mergeCell ref="E9:F9"/>
    <mergeCell ref="E10:F10"/>
    <mergeCell ref="E11:F11"/>
    <mergeCell ref="D12:F12"/>
    <mergeCell ref="I9:I13"/>
    <mergeCell ref="I21:I22"/>
  </mergeCells>
  <dataValidations count="4">
    <dataValidation type="textLength" operator="lessThanOrEqual" allowBlank="1" showInputMessage="1" showErrorMessage="1" errorTitle="Ошибка" error="Допускается ввод не более 900 символов!" sqref="E2 G18:H18 E21">
      <formula1>900</formula1>
    </dataValidation>
    <dataValidation type="decimal" operator="between" allowBlank="1" showErrorMessage="1" errorTitle="Ошибка" error="Допускается ввод только действительных чисел!" sqref="G2:H2 G21:H21">
      <formula1>-9.99999999999999E+23</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3 E15"/>
    <dataValidation type="whole" operator="between" allowBlank="1" showErrorMessage="1" errorTitle="Ошибка" error="Допускается ввод только неотрицательных целых чисел!" sqref="G15:H17">
      <formula1>0</formula1>
      <formula2>9.99999999999999E+23</formula2>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Q32"/>
  <sheetViews>
    <sheetView showGridLines="0" zoomScale="90" zoomScaleNormal="90" workbookViewId="0">
      <pane xSplit="5" ySplit="13" topLeftCell="F14"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39" hidden="1" customWidth="1"/>
    <col min="2" max="2" width="9.14285714285714" style="37" hidden="1" customWidth="1"/>
    <col min="3" max="3" width="3" style="40" customWidth="1"/>
    <col min="4" max="4" width="6" style="42" customWidth="1"/>
    <col min="5" max="6" width="64" style="42" customWidth="1"/>
    <col min="7" max="7" width="140" style="42" customWidth="1"/>
    <col min="8" max="8" width="10" style="42" customWidth="1"/>
    <col min="9" max="10" width="10" style="150" customWidth="1"/>
    <col min="11" max="16" width="10" style="42" customWidth="1"/>
    <col min="17" max="17" width="10.5714285714286" style="42" hidden="1"/>
  </cols>
  <sheetData>
    <row r="1" ht="22.5" hidden="1" customHeight="1" spans="13:17">
      <c r="M1" s="782"/>
      <c r="N1" s="782"/>
      <c r="P1" s="782"/>
      <c r="Q1" s="42" t="s">
        <v>14</v>
      </c>
    </row>
    <row r="2" hidden="1" customHeight="1" spans="17:17">
      <c r="Q2" s="42">
        <v>0</v>
      </c>
    </row>
    <row r="3" hidden="1" customHeight="1" spans="17:17">
      <c r="Q3" s="42">
        <v>0</v>
      </c>
    </row>
    <row r="4" ht="3" customHeight="1" spans="3:17">
      <c r="C4" s="50"/>
      <c r="D4" s="52"/>
      <c r="E4" s="52"/>
      <c r="F4" s="766"/>
      <c r="G4" s="766"/>
      <c r="Q4" s="42">
        <v>3</v>
      </c>
    </row>
    <row r="5" ht="29.25" customHeight="1" spans="3:17">
      <c r="C5" s="50"/>
      <c r="D5" s="76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768"/>
      <c r="F5" s="768"/>
      <c r="G5" s="769"/>
      <c r="Q5" s="42">
        <v>28</v>
      </c>
    </row>
    <row r="6" s="42" customFormat="1" ht="18.75" customHeight="1" spans="1:17">
      <c r="A6" s="39"/>
      <c r="B6" s="37"/>
      <c r="C6" s="50"/>
      <c r="D6" s="770" t="str">
        <f>IF(org=0,"Не определено",org)</f>
        <v>АО "ОЭЗ ППТ "Алабуга"</v>
      </c>
      <c r="E6" s="621"/>
      <c r="F6" s="621"/>
      <c r="G6" s="771"/>
      <c r="I6" s="150"/>
      <c r="J6" s="150"/>
      <c r="Q6" s="42">
        <v>18</v>
      </c>
    </row>
    <row r="7" ht="14.7" customHeight="1" spans="3:17">
      <c r="C7" s="50"/>
      <c r="D7" s="52"/>
      <c r="E7" s="659"/>
      <c r="F7" s="574"/>
      <c r="G7" s="772"/>
      <c r="Q7" s="42">
        <v>14</v>
      </c>
    </row>
    <row r="8" s="42" customFormat="1" ht="1.05" customHeight="1" spans="1:17">
      <c r="A8" s="39"/>
      <c r="B8" s="37"/>
      <c r="C8" s="50"/>
      <c r="D8" s="52"/>
      <c r="E8" s="659"/>
      <c r="F8" s="574"/>
      <c r="G8" s="772"/>
      <c r="I8" s="150"/>
      <c r="J8" s="150"/>
      <c r="Q8" s="42">
        <v>1</v>
      </c>
    </row>
    <row r="9" ht="14.7" customHeight="1" spans="3:17">
      <c r="C9" s="50"/>
      <c r="D9" s="65" t="s">
        <v>305</v>
      </c>
      <c r="E9" s="65"/>
      <c r="F9" s="65"/>
      <c r="G9" s="211" t="s">
        <v>306</v>
      </c>
      <c r="Q9" s="42">
        <v>14</v>
      </c>
    </row>
    <row r="10" ht="24" customHeight="1" spans="3:17">
      <c r="C10" s="50"/>
      <c r="D10" s="65" t="s">
        <v>89</v>
      </c>
      <c r="E10" s="130" t="s">
        <v>307</v>
      </c>
      <c r="F10" s="130" t="s">
        <v>395</v>
      </c>
      <c r="G10" s="211"/>
      <c r="Q10" s="42">
        <v>23</v>
      </c>
    </row>
    <row r="11" ht="12" hidden="1" customHeight="1" spans="3:17">
      <c r="C11" s="50"/>
      <c r="D11" s="564"/>
      <c r="E11" s="564"/>
      <c r="F11" s="564"/>
      <c r="G11" s="564"/>
      <c r="Q11" s="42">
        <v>0</v>
      </c>
    </row>
    <row r="12" ht="65.25" customHeight="1" spans="1:17">
      <c r="A12" s="80"/>
      <c r="C12" s="50"/>
      <c r="D12" s="294">
        <v>1</v>
      </c>
      <c r="E12" s="46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0" t="s">
        <v>311</v>
      </c>
      <c r="G12" s="82"/>
      <c r="Q12" s="42">
        <v>62</v>
      </c>
    </row>
    <row r="13" ht="24" customHeight="1" spans="1:17">
      <c r="A13" s="80"/>
      <c r="C13" s="50"/>
      <c r="D13" s="294" t="s">
        <v>1031</v>
      </c>
      <c r="E13" s="81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0" t="s">
        <v>311</v>
      </c>
      <c r="G13" s="82"/>
      <c r="Q13" s="42">
        <v>23</v>
      </c>
    </row>
    <row r="14" ht="14.7" customHeight="1" spans="1:17">
      <c r="A14" s="80"/>
      <c r="C14" s="50"/>
      <c r="D14" s="294" t="s">
        <v>1067</v>
      </c>
      <c r="E14" s="814"/>
      <c r="F14" s="575"/>
      <c r="G14" s="58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42">
        <v>14</v>
      </c>
    </row>
    <row r="15" ht="15.75" customHeight="1" spans="1:17">
      <c r="A15" s="80"/>
      <c r="C15" s="50"/>
      <c r="D15" s="400"/>
      <c r="E15" s="775" t="s">
        <v>1127</v>
      </c>
      <c r="F15" s="577"/>
      <c r="G15" s="581"/>
      <c r="Q15" s="42">
        <v>15</v>
      </c>
    </row>
    <row r="16" ht="14.7" customHeight="1" spans="1:17">
      <c r="A16" s="80"/>
      <c r="C16" s="50"/>
      <c r="D16" s="294" t="s">
        <v>1033</v>
      </c>
      <c r="E16" s="81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0" t="s">
        <v>311</v>
      </c>
      <c r="G16" s="66"/>
      <c r="Q16" s="42">
        <v>14</v>
      </c>
    </row>
    <row r="17" ht="14.7" customHeight="1" spans="1:17">
      <c r="A17" s="80"/>
      <c r="C17" s="50"/>
      <c r="D17" s="294" t="s">
        <v>1075</v>
      </c>
      <c r="E17" s="814"/>
      <c r="F17" s="815"/>
      <c r="G17" s="58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42">
        <v>14</v>
      </c>
    </row>
    <row r="18" s="42" customFormat="1" ht="22.05" customHeight="1" spans="1:17">
      <c r="A18" s="80"/>
      <c r="B18" s="37"/>
      <c r="C18" s="50"/>
      <c r="D18" s="400"/>
      <c r="E18" s="775" t="s">
        <v>1128</v>
      </c>
      <c r="F18" s="576"/>
      <c r="G18" s="581"/>
      <c r="I18" s="150"/>
      <c r="J18" s="150"/>
      <c r="Q18" s="42">
        <v>21</v>
      </c>
    </row>
    <row r="19" s="42" customFormat="1" ht="256.5" hidden="1" customHeight="1" spans="1:17">
      <c r="A19" s="80"/>
      <c r="B19" s="37"/>
      <c r="C19" s="50"/>
      <c r="D19" s="294" t="s">
        <v>1035</v>
      </c>
      <c r="E19" s="810" t="s">
        <v>1129</v>
      </c>
      <c r="F19" s="815"/>
      <c r="G19" s="66" t="s">
        <v>1130</v>
      </c>
      <c r="I19" s="150"/>
      <c r="J19" s="150"/>
      <c r="Q19" s="42">
        <v>0</v>
      </c>
    </row>
    <row r="20" s="42" customFormat="1" ht="14.7" customHeight="1" spans="1:17">
      <c r="A20" s="80"/>
      <c r="B20" s="37"/>
      <c r="C20" s="50"/>
      <c r="D20" s="662">
        <v>2</v>
      </c>
      <c r="E20" s="810" t="s">
        <v>1131</v>
      </c>
      <c r="F20" s="130" t="s">
        <v>311</v>
      </c>
      <c r="G20" s="66"/>
      <c r="I20" s="150"/>
      <c r="J20" s="150"/>
      <c r="Q20" s="42">
        <v>14</v>
      </c>
    </row>
    <row r="21" s="42" customFormat="1" ht="18.75" hidden="1" customHeight="1" spans="1:17">
      <c r="A21" s="80"/>
      <c r="B21" s="37"/>
      <c r="C21" s="50"/>
      <c r="D21" s="816" t="s">
        <v>646</v>
      </c>
      <c r="E21" s="817"/>
      <c r="F21" s="818"/>
      <c r="G21" s="806"/>
      <c r="H21" s="801"/>
      <c r="I21" s="150"/>
      <c r="J21" s="150"/>
      <c r="Q21" s="42">
        <v>0</v>
      </c>
    </row>
    <row r="22" ht="15.75" customHeight="1" spans="1:17">
      <c r="A22" s="80"/>
      <c r="C22" s="50"/>
      <c r="D22" s="400"/>
      <c r="E22" s="226" t="s">
        <v>327</v>
      </c>
      <c r="F22" s="576"/>
      <c r="G22" s="819"/>
      <c r="Q22" s="42">
        <v>15</v>
      </c>
    </row>
    <row r="23" s="42" customFormat="1" ht="22.5" hidden="1" customHeight="1" spans="1:17">
      <c r="A23" s="80"/>
      <c r="B23" s="37"/>
      <c r="C23" s="50"/>
      <c r="D23" s="294" t="s">
        <v>112</v>
      </c>
      <c r="E23" s="469" t="s">
        <v>1132</v>
      </c>
      <c r="F23" s="130" t="s">
        <v>311</v>
      </c>
      <c r="G23" s="82"/>
      <c r="I23" s="150"/>
      <c r="J23" s="150"/>
      <c r="Q23" s="42">
        <v>0</v>
      </c>
    </row>
    <row r="24" s="42" customFormat="1" hidden="1" customHeight="1" spans="1:17">
      <c r="A24" s="80"/>
      <c r="B24" s="37"/>
      <c r="C24" s="50"/>
      <c r="D24" s="294" t="s">
        <v>718</v>
      </c>
      <c r="E24" s="810" t="s">
        <v>1133</v>
      </c>
      <c r="F24" s="130" t="s">
        <v>311</v>
      </c>
      <c r="G24" s="66"/>
      <c r="I24" s="150"/>
      <c r="J24" s="150"/>
      <c r="Q24" s="42">
        <v>0</v>
      </c>
    </row>
    <row r="25" s="42" customFormat="1" hidden="1" customHeight="1" spans="1:17">
      <c r="A25" s="80"/>
      <c r="B25" s="37"/>
      <c r="C25" s="50"/>
      <c r="D25" s="294" t="s">
        <v>721</v>
      </c>
      <c r="E25" s="814"/>
      <c r="F25" s="815"/>
      <c r="G25" s="580" t="s">
        <v>1134</v>
      </c>
      <c r="I25" s="150"/>
      <c r="J25" s="150"/>
      <c r="Q25" s="42">
        <v>0</v>
      </c>
    </row>
    <row r="26" s="42" customFormat="1" ht="22.5" hidden="1" customHeight="1" spans="1:17">
      <c r="A26" s="80"/>
      <c r="B26" s="37"/>
      <c r="C26" s="50"/>
      <c r="D26" s="400"/>
      <c r="E26" s="775" t="s">
        <v>1135</v>
      </c>
      <c r="F26" s="576"/>
      <c r="G26" s="581"/>
      <c r="I26" s="150"/>
      <c r="J26" s="150"/>
      <c r="Q26" s="42">
        <v>0</v>
      </c>
    </row>
    <row r="27" ht="3" customHeight="1" spans="17:17">
      <c r="Q27" s="42">
        <v>3</v>
      </c>
    </row>
    <row r="28" ht="14.7" customHeight="1" spans="4:17">
      <c r="D28" s="781"/>
      <c r="E28" s="704"/>
      <c r="F28" s="784"/>
      <c r="G28" s="784"/>
      <c r="H28" s="784"/>
      <c r="I28" s="784"/>
      <c r="J28" s="784"/>
      <c r="K28" s="784"/>
      <c r="L28" s="784"/>
      <c r="M28" s="784"/>
      <c r="N28" s="784"/>
      <c r="O28" s="784"/>
      <c r="P28" s="784"/>
      <c r="Q28" s="42">
        <v>14</v>
      </c>
    </row>
    <row r="29" ht="14.7" customHeight="1" spans="4:17">
      <c r="D29" s="781"/>
      <c r="E29" s="500"/>
      <c r="Q29" s="42">
        <v>14</v>
      </c>
    </row>
    <row r="30" ht="14.7" customHeight="1" spans="17:17">
      <c r="Q30" s="42">
        <v>14</v>
      </c>
    </row>
    <row r="31" ht="14.7" customHeight="1" spans="17:17">
      <c r="Q31" s="42">
        <v>14</v>
      </c>
    </row>
    <row r="32" ht="22.5" hidden="1" customHeight="1" spans="1:17">
      <c r="A32" s="39" t="s">
        <v>83</v>
      </c>
      <c r="B32" s="37">
        <v>0</v>
      </c>
      <c r="C32" s="40">
        <v>3</v>
      </c>
      <c r="D32" s="42">
        <v>6</v>
      </c>
      <c r="E32" s="42">
        <v>64</v>
      </c>
      <c r="F32" s="42">
        <v>64</v>
      </c>
      <c r="G32" s="42">
        <v>140</v>
      </c>
      <c r="H32" s="42">
        <v>10</v>
      </c>
      <c r="I32" s="150">
        <v>10</v>
      </c>
      <c r="J32" s="150">
        <v>10</v>
      </c>
      <c r="K32" s="42">
        <v>10</v>
      </c>
      <c r="L32" s="42">
        <v>10</v>
      </c>
      <c r="M32" s="42">
        <v>10</v>
      </c>
      <c r="N32" s="42">
        <v>10</v>
      </c>
      <c r="O32" s="42">
        <v>10</v>
      </c>
      <c r="P32" s="42">
        <v>10</v>
      </c>
      <c r="Q32" s="42">
        <v>23</v>
      </c>
    </row>
  </sheetData>
  <sheetProtection formatColumns="0" formatRows="0" insertRows="0" deleteColumns="0" deleteRows="0" sort="0" autoFilter="0"/>
  <mergeCells count="7">
    <mergeCell ref="D5:G5"/>
    <mergeCell ref="D6:G6"/>
    <mergeCell ref="D9:F9"/>
    <mergeCell ref="G9:G10"/>
    <mergeCell ref="G14:G15"/>
    <mergeCell ref="G17:G18"/>
    <mergeCell ref="G25:G26"/>
  </mergeCells>
  <dataValidations count="2">
    <dataValidation type="textLength" operator="lessThanOrEqual" allowBlank="1" showInputMessage="1" showErrorMessage="1" errorTitle="Ошибка" error="Допускается ввод не более 900 символов!" sqref="E14 G14 E17 G17 G21 E25 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M47"/>
  <sheetViews>
    <sheetView showGridLines="0" zoomScale="90" zoomScaleNormal="90" workbookViewId="0">
      <pane xSplit="6" ySplit="21" topLeftCell="G28" activePane="bottomRight" state="frozen"/>
      <selection/>
      <selection pane="topRight"/>
      <selection pane="bottomLeft"/>
      <selection pane="bottomRight" activeCell="G24" sqref="G24"/>
    </sheetView>
  </sheetViews>
  <sheetFormatPr defaultColWidth="10.5714285714286" defaultRowHeight="14.25" customHeight="1"/>
  <cols>
    <col min="1" max="1" width="9.14285714285714" style="38" hidden="1" customWidth="1"/>
    <col min="2" max="2" width="9.14285714285714" style="37" hidden="1" customWidth="1"/>
    <col min="3" max="3" width="3" style="40" customWidth="1"/>
    <col min="4" max="4" width="6" style="42" customWidth="1"/>
    <col min="5" max="5" width="63" style="42" customWidth="1"/>
    <col min="6" max="6" width="1.71428571428571" style="42" hidden="1" customWidth="1"/>
    <col min="7" max="7" width="67.5714285714286" style="42" customWidth="1"/>
    <col min="8" max="8" width="57.2857142857143" style="42" customWidth="1"/>
    <col min="9" max="9" width="91" style="42" customWidth="1"/>
    <col min="10" max="10" width="68" style="42" customWidth="1"/>
    <col min="11" max="12" width="10" style="150" customWidth="1"/>
    <col min="13" max="13" width="10.5714285714286" style="42" hidden="1"/>
  </cols>
  <sheetData>
    <row r="1" ht="22.5" hidden="1" customHeight="1" spans="13:13">
      <c r="M1" s="42" t="s">
        <v>14</v>
      </c>
    </row>
    <row r="2" s="42" customFormat="1" ht="18.75" hidden="1" customHeight="1" spans="1:13">
      <c r="A2" s="263"/>
      <c r="B2" s="37"/>
      <c r="C2" s="650" t="s">
        <v>521</v>
      </c>
      <c r="D2" s="294"/>
      <c r="E2" s="809"/>
      <c r="F2" s="130"/>
      <c r="G2" s="130" t="s">
        <v>311</v>
      </c>
      <c r="H2" s="575"/>
      <c r="K2" s="150"/>
      <c r="L2" s="150"/>
      <c r="M2" s="42">
        <v>0</v>
      </c>
    </row>
    <row r="3" s="42" customFormat="1" hidden="1" customHeight="1" spans="1:13">
      <c r="A3" s="38"/>
      <c r="B3" s="37"/>
      <c r="C3" s="40"/>
      <c r="K3" s="150"/>
      <c r="L3" s="150"/>
      <c r="M3" s="42">
        <v>0</v>
      </c>
    </row>
    <row r="4" s="42" customFormat="1" ht="18.75" hidden="1" customHeight="1" spans="1:13">
      <c r="A4" s="263"/>
      <c r="B4" s="37"/>
      <c r="C4" s="650" t="s">
        <v>521</v>
      </c>
      <c r="D4" s="294"/>
      <c r="E4" s="810" t="s">
        <v>1136</v>
      </c>
      <c r="F4" s="130"/>
      <c r="G4" s="467"/>
      <c r="H4" s="130" t="s">
        <v>311</v>
      </c>
      <c r="K4" s="150"/>
      <c r="L4" s="150"/>
      <c r="M4" s="42">
        <v>0</v>
      </c>
    </row>
    <row r="5" s="42" customFormat="1" hidden="1" customHeight="1" spans="1:13">
      <c r="A5" s="38"/>
      <c r="B5" s="37"/>
      <c r="C5" s="40"/>
      <c r="K5" s="150"/>
      <c r="L5" s="150"/>
      <c r="M5" s="42">
        <v>0</v>
      </c>
    </row>
    <row r="6" s="42" customFormat="1" ht="18.75" hidden="1" customHeight="1" spans="1:13">
      <c r="A6" s="263"/>
      <c r="B6" s="37"/>
      <c r="C6" s="650" t="s">
        <v>521</v>
      </c>
      <c r="D6" s="294"/>
      <c r="E6" s="811" t="s">
        <v>1137</v>
      </c>
      <c r="F6" s="130"/>
      <c r="G6" s="467"/>
      <c r="H6" s="130" t="s">
        <v>311</v>
      </c>
      <c r="K6" s="150"/>
      <c r="L6" s="150"/>
      <c r="M6" s="42">
        <v>0</v>
      </c>
    </row>
    <row r="7" s="42" customFormat="1" hidden="1" customHeight="1" spans="1:13">
      <c r="A7" s="38"/>
      <c r="B7" s="37"/>
      <c r="C7" s="40"/>
      <c r="K7" s="150"/>
      <c r="L7" s="150"/>
      <c r="M7" s="42">
        <v>0</v>
      </c>
    </row>
    <row r="8" s="42" customFormat="1" ht="18.75" hidden="1" customHeight="1" spans="1:13">
      <c r="A8" s="263"/>
      <c r="B8" s="37"/>
      <c r="C8" s="650" t="s">
        <v>521</v>
      </c>
      <c r="D8" s="294"/>
      <c r="E8" s="811" t="s">
        <v>1138</v>
      </c>
      <c r="F8" s="130"/>
      <c r="G8" s="467"/>
      <c r="H8" s="130" t="s">
        <v>311</v>
      </c>
      <c r="K8" s="150"/>
      <c r="L8" s="150"/>
      <c r="M8" s="42">
        <v>0</v>
      </c>
    </row>
    <row r="9" s="42" customFormat="1" hidden="1" customHeight="1" spans="1:13">
      <c r="A9" s="38"/>
      <c r="B9" s="37"/>
      <c r="C9" s="40"/>
      <c r="K9" s="150"/>
      <c r="L9" s="150"/>
      <c r="M9" s="42">
        <v>0</v>
      </c>
    </row>
    <row r="10" s="42" customFormat="1" ht="18.75" hidden="1" customHeight="1" spans="1:13">
      <c r="A10" s="263"/>
      <c r="B10" s="37"/>
      <c r="C10" s="650" t="s">
        <v>521</v>
      </c>
      <c r="D10" s="294"/>
      <c r="E10" s="811" t="s">
        <v>1139</v>
      </c>
      <c r="F10" s="130"/>
      <c r="G10" s="374"/>
      <c r="H10" s="130" t="s">
        <v>311</v>
      </c>
      <c r="K10" s="150"/>
      <c r="L10" s="150" t="s">
        <v>1140</v>
      </c>
      <c r="M10" s="42">
        <v>0</v>
      </c>
    </row>
    <row r="11" hidden="1" customHeight="1" spans="13:13">
      <c r="M11" s="42">
        <v>0</v>
      </c>
    </row>
    <row r="12" hidden="1" customHeight="1" spans="13:13">
      <c r="M12" s="42">
        <v>0</v>
      </c>
    </row>
    <row r="13" ht="14.7" customHeight="1" spans="3:13">
      <c r="C13" s="50"/>
      <c r="D13" s="52"/>
      <c r="E13" s="52"/>
      <c r="F13" s="52"/>
      <c r="G13" s="52"/>
      <c r="H13" s="766"/>
      <c r="I13" s="766"/>
      <c r="M13" s="42">
        <v>14</v>
      </c>
    </row>
    <row r="14" ht="29.25" customHeight="1" spans="3:13">
      <c r="C14" s="50"/>
      <c r="D14" s="76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768"/>
      <c r="F14" s="768"/>
      <c r="G14" s="768"/>
      <c r="H14" s="769"/>
      <c r="M14" s="42">
        <v>28</v>
      </c>
    </row>
    <row r="15" s="42" customFormat="1" ht="14.7" customHeight="1" spans="1:13">
      <c r="A15" s="38"/>
      <c r="B15" s="37"/>
      <c r="C15" s="50"/>
      <c r="D15" s="770" t="str">
        <f>IF(org=0,"Не определено",org)</f>
        <v>АО "ОЭЗ ППТ "Алабуга"</v>
      </c>
      <c r="E15" s="621"/>
      <c r="F15" s="621"/>
      <c r="G15" s="621"/>
      <c r="H15" s="771"/>
      <c r="J15" s="280"/>
      <c r="K15" s="150"/>
      <c r="L15" s="150"/>
      <c r="M15" s="42">
        <v>14</v>
      </c>
    </row>
    <row r="16" ht="14.7" customHeight="1" spans="3:13">
      <c r="C16" s="50"/>
      <c r="D16" s="52"/>
      <c r="E16" s="659"/>
      <c r="F16" s="659"/>
      <c r="G16" s="659"/>
      <c r="H16" s="574"/>
      <c r="I16" s="772"/>
      <c r="M16" s="42">
        <v>14</v>
      </c>
    </row>
    <row r="17" s="42" customFormat="1" hidden="1" customHeight="1" spans="1:13">
      <c r="A17" s="38"/>
      <c r="B17" s="37"/>
      <c r="C17" s="50"/>
      <c r="D17" s="52"/>
      <c r="E17" s="659"/>
      <c r="F17" s="659"/>
      <c r="G17" s="659"/>
      <c r="H17" s="574"/>
      <c r="I17" s="772"/>
      <c r="K17" s="150"/>
      <c r="L17" s="150"/>
      <c r="M17" s="42">
        <v>0</v>
      </c>
    </row>
    <row r="18" ht="22.05" customHeight="1" spans="3:13">
      <c r="C18" s="50"/>
      <c r="D18" s="65" t="s">
        <v>305</v>
      </c>
      <c r="E18" s="65"/>
      <c r="F18" s="65"/>
      <c r="G18" s="65"/>
      <c r="H18" s="65"/>
      <c r="I18" s="211" t="s">
        <v>306</v>
      </c>
      <c r="M18" s="42">
        <v>21</v>
      </c>
    </row>
    <row r="19" ht="22.05" customHeight="1" spans="3:13">
      <c r="C19" s="50"/>
      <c r="D19" s="65" t="s">
        <v>89</v>
      </c>
      <c r="E19" s="130" t="s">
        <v>307</v>
      </c>
      <c r="F19" s="130"/>
      <c r="G19" s="130" t="s">
        <v>308</v>
      </c>
      <c r="H19" s="130" t="s">
        <v>395</v>
      </c>
      <c r="I19" s="211"/>
      <c r="M19" s="42">
        <v>21</v>
      </c>
    </row>
    <row r="20" ht="12" hidden="1" customHeight="1" spans="3:13">
      <c r="C20" s="50"/>
      <c r="D20" s="564"/>
      <c r="E20" s="564"/>
      <c r="F20" s="564"/>
      <c r="G20" s="564"/>
      <c r="H20" s="564"/>
      <c r="I20" s="564"/>
      <c r="M20" s="42">
        <v>0</v>
      </c>
    </row>
    <row r="21" ht="14.7" customHeight="1" spans="1:13">
      <c r="A21" s="263"/>
      <c r="C21" s="50"/>
      <c r="D21" s="294">
        <v>1</v>
      </c>
      <c r="E21" s="464" t="s">
        <v>1141</v>
      </c>
      <c r="F21" s="464"/>
      <c r="G21" s="464"/>
      <c r="H21" s="464"/>
      <c r="I21" s="805"/>
      <c r="M21" s="42">
        <v>14</v>
      </c>
    </row>
    <row r="22" ht="21" customHeight="1" spans="1:13">
      <c r="A22" s="263"/>
      <c r="C22" s="50"/>
      <c r="D22" s="294" t="s">
        <v>1031</v>
      </c>
      <c r="E22" s="810" t="s">
        <v>1142</v>
      </c>
      <c r="F22" s="130"/>
      <c r="G22" s="812">
        <v>45548</v>
      </c>
      <c r="H22" s="130" t="s">
        <v>311</v>
      </c>
      <c r="I22" s="82" t="s">
        <v>1143</v>
      </c>
      <c r="M22" s="42">
        <v>20</v>
      </c>
    </row>
    <row r="23" ht="60" customHeight="1" spans="1:13">
      <c r="A23" s="263"/>
      <c r="C23" s="50"/>
      <c r="D23" s="294" t="s">
        <v>1033</v>
      </c>
      <c r="E23" s="810" t="s">
        <v>1144</v>
      </c>
      <c r="F23" s="130"/>
      <c r="G23" s="467" t="s">
        <v>1145</v>
      </c>
      <c r="H23" s="575" t="s">
        <v>1146</v>
      </c>
      <c r="I23" s="452" t="s">
        <v>1147</v>
      </c>
      <c r="M23" s="42">
        <v>57</v>
      </c>
    </row>
    <row r="24" ht="45.75" customHeight="1" spans="1:13">
      <c r="A24" s="263"/>
      <c r="B24" s="37">
        <v>3</v>
      </c>
      <c r="C24" s="50"/>
      <c r="D24" s="294">
        <v>2</v>
      </c>
      <c r="E24" s="46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0"/>
      <c r="G24" s="130" t="s">
        <v>311</v>
      </c>
      <c r="H24" s="575" t="s">
        <v>1148</v>
      </c>
      <c r="I24" s="392" t="s">
        <v>641</v>
      </c>
      <c r="M24" s="42">
        <v>14</v>
      </c>
    </row>
    <row r="25" ht="48.3" customHeight="1" spans="1:13">
      <c r="A25" s="263"/>
      <c r="C25" s="50"/>
      <c r="D25" s="294">
        <v>3</v>
      </c>
      <c r="E25" s="4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464"/>
      <c r="G25" s="464"/>
      <c r="H25" s="464"/>
      <c r="I25" s="805"/>
      <c r="M25" s="42">
        <v>46</v>
      </c>
    </row>
    <row r="26" ht="181.5" customHeight="1" spans="1:13">
      <c r="A26" s="263"/>
      <c r="C26" s="50"/>
      <c r="D26" s="294" t="s">
        <v>329</v>
      </c>
      <c r="E26" s="809" t="s">
        <v>1149</v>
      </c>
      <c r="F26" s="130"/>
      <c r="G26" s="130" t="s">
        <v>311</v>
      </c>
      <c r="H26" s="575" t="s">
        <v>1150</v>
      </c>
      <c r="I26" s="580" t="s">
        <v>1151</v>
      </c>
      <c r="M26" s="42">
        <v>14</v>
      </c>
    </row>
    <row r="27" ht="15.75" customHeight="1" spans="1:13">
      <c r="A27" s="263" t="s">
        <v>111</v>
      </c>
      <c r="C27" s="50"/>
      <c r="D27" s="400"/>
      <c r="E27" s="226" t="s">
        <v>327</v>
      </c>
      <c r="F27" s="775"/>
      <c r="G27" s="775"/>
      <c r="H27" s="577"/>
      <c r="I27" s="581"/>
      <c r="M27" s="42">
        <v>15</v>
      </c>
    </row>
    <row r="28" ht="39.75" customHeight="1" spans="1:13">
      <c r="A28" s="263"/>
      <c r="B28" s="37">
        <v>3</v>
      </c>
      <c r="C28" s="50"/>
      <c r="D28" s="294">
        <v>4</v>
      </c>
      <c r="E28" s="4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464"/>
      <c r="G28" s="464"/>
      <c r="H28" s="464"/>
      <c r="I28" s="805"/>
      <c r="M28" s="42">
        <v>38</v>
      </c>
    </row>
    <row r="29" ht="57" customHeight="1" spans="1:13">
      <c r="A29" s="263"/>
      <c r="C29" s="50"/>
      <c r="D29" s="294" t="s">
        <v>763</v>
      </c>
      <c r="E29" s="810" t="s">
        <v>1136</v>
      </c>
      <c r="F29" s="130"/>
      <c r="G29" s="467" t="s">
        <v>1152</v>
      </c>
      <c r="H29" s="130" t="s">
        <v>311</v>
      </c>
      <c r="I29" s="580" t="s">
        <v>1153</v>
      </c>
      <c r="M29" s="42">
        <v>20</v>
      </c>
    </row>
    <row r="30" s="42" customFormat="1" ht="20.25" customHeight="1" spans="1:13">
      <c r="A30" s="263"/>
      <c r="B30" s="37"/>
      <c r="C30" s="650" t="s">
        <v>521</v>
      </c>
      <c r="D30" s="294" t="s">
        <v>805</v>
      </c>
      <c r="E30" s="810" t="s">
        <v>1136</v>
      </c>
      <c r="F30" s="130"/>
      <c r="G30" s="467" t="s">
        <v>1154</v>
      </c>
      <c r="H30" s="130" t="s">
        <v>311</v>
      </c>
      <c r="K30" s="150"/>
      <c r="L30" s="150"/>
      <c r="M30" s="42">
        <v>0</v>
      </c>
    </row>
    <row r="31" s="42" customFormat="1" ht="24" customHeight="1" spans="1:13">
      <c r="A31" s="263"/>
      <c r="B31" s="37"/>
      <c r="C31" s="650" t="s">
        <v>521</v>
      </c>
      <c r="D31" s="294" t="s">
        <v>808</v>
      </c>
      <c r="E31" s="810" t="s">
        <v>1136</v>
      </c>
      <c r="F31" s="130"/>
      <c r="G31" s="467" t="s">
        <v>1155</v>
      </c>
      <c r="H31" s="130" t="s">
        <v>311</v>
      </c>
      <c r="K31" s="150"/>
      <c r="L31" s="150"/>
      <c r="M31" s="42">
        <v>0</v>
      </c>
    </row>
    <row r="32" s="42" customFormat="1" ht="24" customHeight="1" spans="1:13">
      <c r="A32" s="263"/>
      <c r="B32" s="37"/>
      <c r="C32" s="650" t="s">
        <v>521</v>
      </c>
      <c r="D32" s="294" t="s">
        <v>886</v>
      </c>
      <c r="E32" s="810" t="s">
        <v>1136</v>
      </c>
      <c r="F32" s="130"/>
      <c r="G32" s="467" t="s">
        <v>1156</v>
      </c>
      <c r="H32" s="130" t="s">
        <v>311</v>
      </c>
      <c r="K32" s="150"/>
      <c r="L32" s="150"/>
      <c r="M32" s="42">
        <v>0</v>
      </c>
    </row>
    <row r="33" s="42" customFormat="1" ht="24" customHeight="1" spans="1:13">
      <c r="A33" s="263"/>
      <c r="B33" s="37"/>
      <c r="C33" s="650" t="s">
        <v>521</v>
      </c>
      <c r="D33" s="294" t="s">
        <v>888</v>
      </c>
      <c r="E33" s="810" t="s">
        <v>1136</v>
      </c>
      <c r="F33" s="130"/>
      <c r="G33" s="467" t="s">
        <v>1157</v>
      </c>
      <c r="H33" s="130" t="s">
        <v>311</v>
      </c>
      <c r="K33" s="150"/>
      <c r="L33" s="150"/>
      <c r="M33" s="42">
        <v>0</v>
      </c>
    </row>
    <row r="34" ht="15.75" customHeight="1" spans="1:13">
      <c r="A34" s="263" t="s">
        <v>112</v>
      </c>
      <c r="C34" s="50"/>
      <c r="D34" s="400"/>
      <c r="E34" s="226" t="s">
        <v>327</v>
      </c>
      <c r="F34" s="775"/>
      <c r="G34" s="775"/>
      <c r="H34" s="577"/>
      <c r="I34" s="581"/>
      <c r="M34" s="42">
        <v>15</v>
      </c>
    </row>
    <row r="35" ht="31.5" customHeight="1" spans="1:13">
      <c r="A35" s="263"/>
      <c r="B35" s="37">
        <v>3</v>
      </c>
      <c r="C35" s="50"/>
      <c r="D35" s="294">
        <v>5</v>
      </c>
      <c r="E35" s="4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464"/>
      <c r="G35" s="464"/>
      <c r="H35" s="464"/>
      <c r="I35" s="805"/>
      <c r="M35" s="42">
        <v>30</v>
      </c>
    </row>
    <row r="36" ht="27.3" customHeight="1" spans="1:13">
      <c r="A36" s="263"/>
      <c r="C36" s="50"/>
      <c r="D36" s="294" t="s">
        <v>318</v>
      </c>
      <c r="E36" s="81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6" s="810"/>
      <c r="G36" s="810"/>
      <c r="H36" s="810"/>
      <c r="I36" s="805"/>
      <c r="M36" s="42">
        <v>26</v>
      </c>
    </row>
    <row r="37" ht="15" customHeight="1" spans="1:13">
      <c r="A37" s="263"/>
      <c r="C37" s="50"/>
      <c r="D37" s="294" t="s">
        <v>1158</v>
      </c>
      <c r="E37" s="811" t="s">
        <v>1137</v>
      </c>
      <c r="F37" s="130"/>
      <c r="G37" s="467" t="s">
        <v>1159</v>
      </c>
      <c r="H37" s="130" t="s">
        <v>311</v>
      </c>
      <c r="I37" s="580" t="s">
        <v>1160</v>
      </c>
      <c r="M37" s="42">
        <v>14</v>
      </c>
    </row>
    <row r="38" ht="15.75" customHeight="1" spans="1:13">
      <c r="A38" s="263" t="s">
        <v>91</v>
      </c>
      <c r="C38" s="50"/>
      <c r="D38" s="400"/>
      <c r="E38" s="775" t="s">
        <v>327</v>
      </c>
      <c r="F38" s="813"/>
      <c r="G38" s="813"/>
      <c r="H38" s="577"/>
      <c r="I38" s="581"/>
      <c r="M38" s="42">
        <v>15</v>
      </c>
    </row>
    <row r="39" ht="25.2" customHeight="1" spans="1:13">
      <c r="A39" s="263"/>
      <c r="C39" s="50"/>
      <c r="D39" s="294" t="s">
        <v>891</v>
      </c>
      <c r="E39" s="81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9" s="810"/>
      <c r="G39" s="810"/>
      <c r="H39" s="810"/>
      <c r="I39" s="805"/>
      <c r="M39" s="42">
        <v>24</v>
      </c>
    </row>
    <row r="40" ht="15" customHeight="1" spans="1:13">
      <c r="A40" s="263"/>
      <c r="C40" s="50"/>
      <c r="D40" s="294" t="s">
        <v>1161</v>
      </c>
      <c r="E40" s="811" t="s">
        <v>1138</v>
      </c>
      <c r="F40" s="130"/>
      <c r="G40" s="467" t="s">
        <v>1162</v>
      </c>
      <c r="H40" s="130" t="s">
        <v>311</v>
      </c>
      <c r="I40" s="452" t="s">
        <v>1163</v>
      </c>
      <c r="M40" s="42">
        <v>14</v>
      </c>
    </row>
    <row r="41" ht="15.75" customHeight="1" spans="1:13">
      <c r="A41" s="263" t="s">
        <v>92</v>
      </c>
      <c r="C41" s="50"/>
      <c r="D41" s="400"/>
      <c r="E41" s="775" t="s">
        <v>327</v>
      </c>
      <c r="F41" s="813"/>
      <c r="G41" s="813"/>
      <c r="H41" s="577"/>
      <c r="I41" s="452"/>
      <c r="M41" s="42">
        <v>15</v>
      </c>
    </row>
    <row r="42" ht="27.3" customHeight="1" spans="1:13">
      <c r="A42" s="263"/>
      <c r="C42" s="50"/>
      <c r="D42" s="294" t="s">
        <v>892</v>
      </c>
      <c r="E42" s="81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42" s="810"/>
      <c r="G42" s="810"/>
      <c r="H42" s="810"/>
      <c r="I42" s="805"/>
      <c r="M42" s="42">
        <v>26</v>
      </c>
    </row>
    <row r="43" ht="15" customHeight="1" spans="1:13">
      <c r="A43" s="263"/>
      <c r="C43" s="50"/>
      <c r="D43" s="294" t="s">
        <v>893</v>
      </c>
      <c r="E43" s="811" t="s">
        <v>1139</v>
      </c>
      <c r="F43" s="130"/>
      <c r="G43" s="374" t="s">
        <v>1164</v>
      </c>
      <c r="H43" s="130" t="s">
        <v>311</v>
      </c>
      <c r="I43" s="580" t="s">
        <v>1165</v>
      </c>
      <c r="L43" s="150" t="s">
        <v>1140</v>
      </c>
      <c r="M43" s="42">
        <v>14</v>
      </c>
    </row>
    <row r="44" ht="15.75" customHeight="1" spans="1:13">
      <c r="A44" s="263" t="s">
        <v>113</v>
      </c>
      <c r="C44" s="50"/>
      <c r="D44" s="400"/>
      <c r="E44" s="775" t="s">
        <v>327</v>
      </c>
      <c r="F44" s="813"/>
      <c r="G44" s="813"/>
      <c r="H44" s="577"/>
      <c r="I44" s="581"/>
      <c r="M44" s="42">
        <v>15</v>
      </c>
    </row>
    <row r="45" s="80" customFormat="1" ht="3" customHeight="1" spans="1:13">
      <c r="A45" s="263"/>
      <c r="K45" s="151"/>
      <c r="L45" s="151"/>
      <c r="M45" s="80">
        <v>3</v>
      </c>
    </row>
    <row r="46" ht="26.25" customHeight="1" spans="4:13">
      <c r="D46" s="781" t="s">
        <v>813</v>
      </c>
      <c r="E46" s="11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6" s="119"/>
      <c r="G46" s="119"/>
      <c r="H46" s="119"/>
      <c r="I46" s="119"/>
      <c r="M46" s="42">
        <v>25</v>
      </c>
    </row>
    <row r="47" ht="22.5" hidden="1" customHeight="1" spans="1:13">
      <c r="A47" s="38" t="s">
        <v>83</v>
      </c>
      <c r="B47" s="37">
        <v>0</v>
      </c>
      <c r="C47" s="40">
        <v>3</v>
      </c>
      <c r="D47" s="42">
        <v>6</v>
      </c>
      <c r="E47" s="42">
        <v>63</v>
      </c>
      <c r="F47" s="42">
        <v>0</v>
      </c>
      <c r="G47" s="42">
        <v>35</v>
      </c>
      <c r="H47" s="42">
        <v>35</v>
      </c>
      <c r="I47" s="42">
        <v>91</v>
      </c>
      <c r="J47" s="42">
        <v>68</v>
      </c>
      <c r="K47" s="150">
        <v>10</v>
      </c>
      <c r="L47" s="150">
        <v>10</v>
      </c>
      <c r="M47" s="42">
        <v>23</v>
      </c>
    </row>
  </sheetData>
  <sheetProtection formatColumns="0" formatRows="0" insertRows="0" deleteColumns="0" deleteRows="0" sort="0" autoFilter="0"/>
  <mergeCells count="17">
    <mergeCell ref="D14:H14"/>
    <mergeCell ref="D15:H15"/>
    <mergeCell ref="D18:H18"/>
    <mergeCell ref="E21:H21"/>
    <mergeCell ref="E25:H25"/>
    <mergeCell ref="E28:H28"/>
    <mergeCell ref="E35:H35"/>
    <mergeCell ref="E36:H36"/>
    <mergeCell ref="E39:H39"/>
    <mergeCell ref="E42:H42"/>
    <mergeCell ref="E46:I46"/>
    <mergeCell ref="I18:I19"/>
    <mergeCell ref="I26:I27"/>
    <mergeCell ref="I29:I34"/>
    <mergeCell ref="I37:I38"/>
    <mergeCell ref="I40:I41"/>
    <mergeCell ref="I43:I44"/>
  </mergeCells>
  <dataValidations count="4">
    <dataValidation type="textLength" operator="lessThanOrEqual" allowBlank="1" showInputMessage="1" showErrorMessage="1" errorTitle="Ошибка" error="Допускается ввод не более 900 символов!" sqref="E2 I2 E4 G4 I4 E6 G6 I6 E8 G8 I8 E10 I10 E23 G23 E26 I26 E37 G37 I37 E40 G40 I40 E43 I43 E29:E33 G29:G33 I23:I24 I29:I3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 H26 H23:H24">
      <formula1>900</formula1>
    </dataValidation>
    <dataValidation type="list" allowBlank="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3" showDropDown="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H26" r:id="rId2" display="https://portal.eias.ru/Portal/DownloadPage.aspx?type=12&amp;guid=7b0e7eff-848a-4a61-b876-f27850f24f97" tooltip="https://portal.eias.ru/Portal/DownloadPage.aspx?type=12&amp;guid=7b0e7eff-848a-4a61-b876-f27850f24f97"/>
  </hyperlinks>
  <pageMargins left="0.7" right="0.7" top="0.75" bottom="0.75" header="0.3" footer="0.3"/>
  <pageSetup paperSize="1"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H332"/>
  <sheetViews>
    <sheetView showGridLines="0" zoomScale="90" zoomScaleNormal="90" workbookViewId="0">
      <pane xSplit="7" ySplit="21" topLeftCell="H22" activePane="bottomRight" state="frozen"/>
      <selection/>
      <selection pane="topRight"/>
      <selection pane="bottomLeft"/>
      <selection pane="bottomRight" activeCell="A1" sqref="A1"/>
    </sheetView>
  </sheetViews>
  <sheetFormatPr defaultColWidth="10.5714285714286" defaultRowHeight="14.25" customHeight="1"/>
  <cols>
    <col min="1" max="2" width="25.1428571428571" style="783" hidden="1" customWidth="1"/>
    <col min="3" max="3" width="9.14285714285714" style="784" hidden="1" customWidth="1"/>
    <col min="4" max="4" width="3" style="40" customWidth="1"/>
    <col min="5" max="5" width="6" style="42" customWidth="1"/>
    <col min="6" max="6" width="46.7142857142857" style="42" customWidth="1"/>
    <col min="7" max="7" width="35" style="42" customWidth="1"/>
    <col min="8" max="8" width="3" style="42" customWidth="1"/>
    <col min="9" max="10" width="11" style="42" customWidth="1"/>
    <col min="11" max="12" width="35" style="42" customWidth="1"/>
    <col min="13" max="13" width="84" style="42" customWidth="1"/>
    <col min="14" max="14" width="10" style="42" customWidth="1"/>
    <col min="15" max="16" width="10" style="150" customWidth="1"/>
    <col min="17" max="33" width="10" style="42" customWidth="1"/>
    <col min="34" max="34" width="10.5714285714286" style="42" hidden="1"/>
  </cols>
  <sheetData>
    <row r="1" s="42" customFormat="1" ht="22.5" hidden="1" customHeight="1" spans="1:34">
      <c r="A1" s="783"/>
      <c r="B1" s="783"/>
      <c r="C1" s="784"/>
      <c r="D1" s="40"/>
      <c r="N1" s="43">
        <f>IFERROR(MATCH("метод экономически обоснованных расходов (затрат)",OFFER_METHOD,0),0)</f>
        <v>0</v>
      </c>
      <c r="O1" s="150"/>
      <c r="P1" s="150"/>
      <c r="T1" s="586"/>
      <c r="AG1" s="782"/>
      <c r="AH1" s="42" t="s">
        <v>14</v>
      </c>
    </row>
    <row r="2" s="42" customFormat="1" ht="18.75" hidden="1" customHeight="1" spans="1:34">
      <c r="A2" s="80" t="s">
        <v>157</v>
      </c>
      <c r="B2" s="80" t="s">
        <v>158</v>
      </c>
      <c r="C2" s="784"/>
      <c r="D2" s="40"/>
      <c r="E2" s="69"/>
      <c r="F2" s="69"/>
      <c r="G2" s="785" t="str">
        <f>INDEX(PT_DIFFERENTIATION_NTAR,MATCH(B2,PT_DIFFERENTIATION_NTAR_ID,0))</f>
        <v/>
      </c>
      <c r="H2" s="132"/>
      <c r="I2" s="798"/>
      <c r="J2" s="799"/>
      <c r="K2" s="95"/>
      <c r="L2" s="132" t="s">
        <v>311</v>
      </c>
      <c r="M2" s="800"/>
      <c r="N2" s="801"/>
      <c r="O2" s="150"/>
      <c r="P2" s="150"/>
      <c r="AH2" s="42">
        <v>0</v>
      </c>
    </row>
    <row r="3" s="42" customFormat="1" ht="18.75" hidden="1" customHeight="1" spans="1:34">
      <c r="A3" s="80"/>
      <c r="B3" s="80"/>
      <c r="C3" s="784" t="s">
        <v>1166</v>
      </c>
      <c r="D3" s="40"/>
      <c r="E3" s="69"/>
      <c r="F3" s="69"/>
      <c r="G3" s="785"/>
      <c r="H3" s="598"/>
      <c r="I3" s="331" t="s">
        <v>1167</v>
      </c>
      <c r="J3" s="775"/>
      <c r="K3" s="598"/>
      <c r="L3" s="577"/>
      <c r="M3" s="800"/>
      <c r="N3" s="801"/>
      <c r="O3" s="150"/>
      <c r="P3" s="150"/>
      <c r="AH3" s="42">
        <v>0</v>
      </c>
    </row>
    <row r="4" s="42" customFormat="1" hidden="1" customHeight="1" spans="1:34">
      <c r="A4" s="783"/>
      <c r="B4" s="783"/>
      <c r="C4" s="784"/>
      <c r="D4" s="40"/>
      <c r="N4" s="43">
        <f>IFERROR(MATCH("метод экономически обоснованных расходов (затрат)",OFFER_METHOD,0),0)</f>
        <v>0</v>
      </c>
      <c r="O4" s="150"/>
      <c r="P4" s="150"/>
      <c r="T4" s="586"/>
      <c r="AG4" s="782"/>
      <c r="AH4" s="42">
        <v>0</v>
      </c>
    </row>
    <row r="5" s="42" customFormat="1" ht="18.75" hidden="1" customHeight="1" spans="1:34">
      <c r="A5" s="80" t="s">
        <v>157</v>
      </c>
      <c r="B5" s="80" t="s">
        <v>158</v>
      </c>
      <c r="C5" s="784"/>
      <c r="D5" s="40"/>
      <c r="E5" s="69"/>
      <c r="F5" s="69"/>
      <c r="G5" s="785" t="str">
        <f>INDEX(PT_DIFFERENTIATION_NTAR,MATCH(B5,PT_DIFFERENTIATION_NTAR_ID,0))</f>
        <v/>
      </c>
      <c r="H5" s="132"/>
      <c r="I5" s="798"/>
      <c r="J5" s="799"/>
      <c r="K5" s="262"/>
      <c r="L5" s="132" t="s">
        <v>311</v>
      </c>
      <c r="M5" s="800"/>
      <c r="N5" s="801"/>
      <c r="O5" s="150"/>
      <c r="P5" s="150"/>
      <c r="AH5" s="42">
        <v>0</v>
      </c>
    </row>
    <row r="6" s="42" customFormat="1" ht="18.75" hidden="1" customHeight="1" spans="1:34">
      <c r="A6" s="80"/>
      <c r="B6" s="80"/>
      <c r="C6" s="784" t="s">
        <v>1168</v>
      </c>
      <c r="D6" s="40"/>
      <c r="E6" s="69"/>
      <c r="F6" s="69"/>
      <c r="G6" s="785"/>
      <c r="H6" s="598"/>
      <c r="I6" s="331" t="s">
        <v>1167</v>
      </c>
      <c r="J6" s="775"/>
      <c r="K6" s="598"/>
      <c r="L6" s="577"/>
      <c r="M6" s="800"/>
      <c r="N6" s="801"/>
      <c r="O6" s="150"/>
      <c r="P6" s="150"/>
      <c r="AH6" s="42">
        <v>0</v>
      </c>
    </row>
    <row r="7" s="42" customFormat="1" hidden="1" customHeight="1" spans="1:34">
      <c r="A7" s="783"/>
      <c r="B7" s="783"/>
      <c r="C7" s="784"/>
      <c r="D7" s="40"/>
      <c r="N7" s="43">
        <f>IFERROR(MATCH("метод экономически обоснованных расходов (затрат)",OFFER_METHOD,0),0)</f>
        <v>0</v>
      </c>
      <c r="O7" s="150"/>
      <c r="P7" s="150"/>
      <c r="T7" s="586"/>
      <c r="AG7" s="782"/>
      <c r="AH7" s="42">
        <v>0</v>
      </c>
    </row>
    <row r="8" s="42" customFormat="1" ht="56.25" hidden="1" customHeight="1" spans="1:34">
      <c r="A8" s="80"/>
      <c r="B8" s="80"/>
      <c r="C8" s="784"/>
      <c r="D8" s="40"/>
      <c r="E8" s="69"/>
      <c r="F8" s="69"/>
      <c r="G8" s="69"/>
      <c r="H8" s="132"/>
      <c r="I8" s="798"/>
      <c r="J8" s="799"/>
      <c r="K8" s="95"/>
      <c r="L8" s="132" t="s">
        <v>311</v>
      </c>
      <c r="M8" s="800"/>
      <c r="N8" s="801"/>
      <c r="O8" s="150"/>
      <c r="P8" s="150"/>
      <c r="AH8" s="42">
        <v>0</v>
      </c>
    </row>
    <row r="9" hidden="1" customHeight="1" spans="20:34">
      <c r="T9" s="586"/>
      <c r="AG9" s="782"/>
      <c r="AH9" s="42">
        <v>0</v>
      </c>
    </row>
    <row r="10" s="42" customFormat="1" ht="56.25" hidden="1" customHeight="1" spans="1:34">
      <c r="A10" s="80"/>
      <c r="B10" s="80"/>
      <c r="C10" s="784"/>
      <c r="D10" s="40"/>
      <c r="E10" s="69"/>
      <c r="F10" s="69"/>
      <c r="G10" s="69"/>
      <c r="H10" s="130"/>
      <c r="I10" s="798"/>
      <c r="J10" s="799"/>
      <c r="K10" s="262"/>
      <c r="L10" s="132" t="s">
        <v>311</v>
      </c>
      <c r="M10" s="800"/>
      <c r="N10" s="801"/>
      <c r="O10" s="150"/>
      <c r="P10" s="150"/>
      <c r="AH10" s="42">
        <v>0</v>
      </c>
    </row>
    <row r="11" hidden="1" customHeight="1" spans="34:34">
      <c r="AH11" s="42">
        <v>0</v>
      </c>
    </row>
    <row r="12" hidden="1" customHeight="1" spans="34:34">
      <c r="AH12" s="42">
        <v>0</v>
      </c>
    </row>
    <row r="13" ht="6.3" customHeight="1" spans="4:34">
      <c r="D13" s="50"/>
      <c r="E13" s="52"/>
      <c r="F13" s="52"/>
      <c r="G13" s="52"/>
      <c r="H13" s="52"/>
      <c r="I13" s="52"/>
      <c r="J13" s="52"/>
      <c r="K13" s="52"/>
      <c r="L13" s="766"/>
      <c r="M13" s="766"/>
      <c r="AH13" s="42">
        <v>6</v>
      </c>
    </row>
    <row r="14" ht="14.7" customHeight="1" spans="4:34">
      <c r="D14" s="50"/>
      <c r="E14" s="78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786"/>
      <c r="G14" s="786"/>
      <c r="H14" s="786"/>
      <c r="I14" s="786"/>
      <c r="J14" s="786"/>
      <c r="K14" s="786"/>
      <c r="L14" s="786"/>
      <c r="M14" s="120"/>
      <c r="AH14" s="42">
        <v>14</v>
      </c>
    </row>
    <row r="15" ht="6.3" customHeight="1" spans="4:34">
      <c r="D15" s="50"/>
      <c r="E15" s="52"/>
      <c r="F15" s="659"/>
      <c r="G15" s="659"/>
      <c r="H15" s="659"/>
      <c r="I15" s="659"/>
      <c r="J15" s="659"/>
      <c r="K15" s="659"/>
      <c r="L15" s="55"/>
      <c r="M15" s="772"/>
      <c r="AH15" s="42">
        <v>6</v>
      </c>
    </row>
    <row r="16" ht="24" customHeight="1" spans="4:34">
      <c r="D16" s="50"/>
      <c r="E16" s="52"/>
      <c r="F16" s="787" t="str">
        <f>"Дата подачи заявления об "&amp;IF(TITLE_DATE_PR_CHANGE="","утверждении","изменении")&amp;" тарифов"</f>
        <v>Дата подачи заявления об утверждении тарифов</v>
      </c>
      <c r="G16" s="788">
        <f>IF(TITLE_DATE_PR_CHANGE="",IF(TITLE_DATE_PR="","",TITLE_DATE_PR),TITLE_DATE_PR_CHANGE)</f>
        <v>45525</v>
      </c>
      <c r="H16" s="788"/>
      <c r="I16" s="788"/>
      <c r="J16" s="788"/>
      <c r="K16" s="788"/>
      <c r="L16" s="788"/>
      <c r="M16" s="801"/>
      <c r="AH16" s="42">
        <v>23</v>
      </c>
    </row>
    <row r="17" ht="24" customHeight="1" spans="4:34">
      <c r="D17" s="50"/>
      <c r="E17" s="52"/>
      <c r="F17" s="787" t="str">
        <f>"Номер подачи заявления об "&amp;IF(TITLE_DATE_PR_CHANGE="","утверждении","изменении")&amp;" тарифов"</f>
        <v>Номер подачи заявления об утверждении тарифов</v>
      </c>
      <c r="G17" s="59" t="str">
        <f>IF(TITLE_NUMBER_PR_CHANGE="",IF(TITLE_NUMBER_PR="","",TITLE_NUMBER_PR),TITLE_NUMBER_PR_CHANGE)</f>
        <v>108-73/тп-2024</v>
      </c>
      <c r="H17" s="59"/>
      <c r="I17" s="59"/>
      <c r="J17" s="59"/>
      <c r="K17" s="59"/>
      <c r="L17" s="59"/>
      <c r="M17" s="801"/>
      <c r="AH17" s="42">
        <v>23</v>
      </c>
    </row>
    <row r="18" ht="14.7" customHeight="1" spans="4:34">
      <c r="D18" s="50"/>
      <c r="E18" s="52"/>
      <c r="F18" s="659"/>
      <c r="G18" s="659"/>
      <c r="H18" s="659"/>
      <c r="I18" s="659"/>
      <c r="J18" s="659"/>
      <c r="K18" s="659"/>
      <c r="L18" s="574"/>
      <c r="M18" s="772"/>
      <c r="AH18" s="42">
        <v>14</v>
      </c>
    </row>
    <row r="19" ht="22.05" customHeight="1" spans="4:34">
      <c r="D19" s="50"/>
      <c r="E19" s="65" t="s">
        <v>305</v>
      </c>
      <c r="F19" s="65"/>
      <c r="G19" s="65"/>
      <c r="H19" s="65"/>
      <c r="I19" s="65"/>
      <c r="J19" s="65"/>
      <c r="K19" s="65"/>
      <c r="L19" s="65"/>
      <c r="M19" s="211" t="s">
        <v>306</v>
      </c>
      <c r="AH19" s="42">
        <v>21</v>
      </c>
    </row>
    <row r="20" ht="22.05" customHeight="1" spans="4:34">
      <c r="D20" s="50"/>
      <c r="E20" s="123" t="s">
        <v>89</v>
      </c>
      <c r="F20" s="466" t="s">
        <v>124</v>
      </c>
      <c r="G20" s="466" t="s">
        <v>125</v>
      </c>
      <c r="H20" s="256" t="s">
        <v>1169</v>
      </c>
      <c r="I20" s="802"/>
      <c r="J20" s="803"/>
      <c r="K20" s="466" t="s">
        <v>308</v>
      </c>
      <c r="L20" s="466" t="s">
        <v>395</v>
      </c>
      <c r="M20" s="211"/>
      <c r="AH20" s="42">
        <v>21</v>
      </c>
    </row>
    <row r="21" ht="22.05" customHeight="1" spans="4:34">
      <c r="D21" s="50"/>
      <c r="E21" s="133"/>
      <c r="F21" s="293"/>
      <c r="G21" s="293"/>
      <c r="H21" s="131" t="s">
        <v>1170</v>
      </c>
      <c r="I21" s="132"/>
      <c r="J21" s="130" t="s">
        <v>1171</v>
      </c>
      <c r="K21" s="293"/>
      <c r="L21" s="293"/>
      <c r="M21" s="211"/>
      <c r="AH21" s="42">
        <v>21</v>
      </c>
    </row>
    <row r="22" ht="12.75" customHeight="1" spans="4:34">
      <c r="D22" s="50"/>
      <c r="E22" s="564"/>
      <c r="F22" s="564"/>
      <c r="G22" s="564"/>
      <c r="H22" s="789"/>
      <c r="I22" s="789"/>
      <c r="J22" s="564"/>
      <c r="K22" s="564"/>
      <c r="L22" s="564"/>
      <c r="M22" s="564"/>
      <c r="AH22" s="42">
        <v>12</v>
      </c>
    </row>
    <row r="23" ht="19.95" customHeight="1" spans="1:34">
      <c r="A23" s="80"/>
      <c r="B23" s="80"/>
      <c r="D23" s="50"/>
      <c r="E23" s="790" t="s">
        <v>111</v>
      </c>
      <c r="F23" s="791" t="str">
        <f>"Предлагаемый метод регулирования"&amp;IF(TEMPLATE_SPHERE="HEAT"," в сфере "&amp;TEMPLATE_SPHERE_RUS,"")</f>
        <v>Предлагаемый метод регулирования</v>
      </c>
      <c r="G23" s="791"/>
      <c r="H23" s="464"/>
      <c r="I23" s="464"/>
      <c r="J23" s="464"/>
      <c r="K23" s="791" t="s">
        <v>311</v>
      </c>
      <c r="L23" s="464"/>
      <c r="M23" s="392"/>
      <c r="N23" s="801"/>
      <c r="AH23" s="42">
        <v>19</v>
      </c>
    </row>
    <row r="24" ht="60.75" hidden="1" customHeight="1" spans="1:34">
      <c r="A24" s="80" t="s">
        <v>157</v>
      </c>
      <c r="B24" s="80" t="s">
        <v>158</v>
      </c>
      <c r="D24" s="792"/>
      <c r="E24" s="294"/>
      <c r="F24" s="79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785" t="str">
        <f>INDEX(PT_DIFFERENTIATION_NTAR,MATCH(B24,PT_DIFFERENTIATION_NTAR_ID,0))</f>
        <v/>
      </c>
      <c r="H24" s="132"/>
      <c r="I24" s="798"/>
      <c r="J24" s="799"/>
      <c r="K24" s="95"/>
      <c r="L24" s="132" t="s">
        <v>311</v>
      </c>
      <c r="M24" s="5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801"/>
      <c r="AH24" s="42">
        <v>0</v>
      </c>
    </row>
    <row r="25" s="42" customFormat="1" ht="18.75" hidden="1" customHeight="1" spans="1:34">
      <c r="A25" s="80"/>
      <c r="B25" s="80"/>
      <c r="C25" s="784" t="s">
        <v>1166</v>
      </c>
      <c r="D25" s="792"/>
      <c r="E25" s="294"/>
      <c r="F25" s="793"/>
      <c r="G25" s="785"/>
      <c r="H25" s="598"/>
      <c r="I25" s="331" t="s">
        <v>1167</v>
      </c>
      <c r="J25" s="775"/>
      <c r="K25" s="598"/>
      <c r="L25" s="577"/>
      <c r="M25" s="774"/>
      <c r="N25" s="801"/>
      <c r="O25" s="150"/>
      <c r="P25" s="150"/>
      <c r="AH25" s="42">
        <v>0</v>
      </c>
    </row>
    <row r="26" ht="0.75" hidden="1" customHeight="1" spans="1:34">
      <c r="A26" s="80"/>
      <c r="B26" s="80"/>
      <c r="C26" s="784" t="s">
        <v>1172</v>
      </c>
      <c r="D26" s="792"/>
      <c r="E26" s="294"/>
      <c r="F26" s="326"/>
      <c r="G26" s="794"/>
      <c r="H26" s="598"/>
      <c r="I26" s="331"/>
      <c r="J26" s="775"/>
      <c r="K26" s="598"/>
      <c r="L26" s="577"/>
      <c r="M26" s="774"/>
      <c r="N26" s="801"/>
      <c r="AH26" s="42">
        <v>0</v>
      </c>
    </row>
    <row r="27" s="42" customFormat="1" ht="45" hidden="1" customHeight="1" spans="1:34">
      <c r="A27" s="80" t="s">
        <v>162</v>
      </c>
      <c r="B27" s="80" t="s">
        <v>163</v>
      </c>
      <c r="C27" s="784"/>
      <c r="D27" s="795"/>
      <c r="E27" s="796"/>
      <c r="F27" s="797" t="str">
        <f>INDEX(PT_DIFFERENTIATION_VTAR,MATCH(A27,PT_DIFFERENTIATION_VTAR_ID,0))</f>
        <v/>
      </c>
      <c r="G27" s="785" t="str">
        <f>INDEX(PT_DIFFERENTIATION_NTAR,MATCH(B27,PT_DIFFERENTIATION_NTAR_ID,0))</f>
        <v/>
      </c>
      <c r="H27" s="132"/>
      <c r="I27" s="798"/>
      <c r="J27" s="799"/>
      <c r="K27" s="95"/>
      <c r="L27" s="132" t="s">
        <v>311</v>
      </c>
      <c r="M27" s="774"/>
      <c r="N27" s="801"/>
      <c r="O27" s="150"/>
      <c r="P27" s="150"/>
      <c r="AH27" s="42">
        <v>0</v>
      </c>
    </row>
    <row r="28" s="42" customFormat="1" ht="18.75" hidden="1" customHeight="1" spans="1:34">
      <c r="A28" s="80"/>
      <c r="B28" s="80"/>
      <c r="C28" s="784" t="s">
        <v>1166</v>
      </c>
      <c r="D28" s="795"/>
      <c r="E28" s="796"/>
      <c r="F28" s="797"/>
      <c r="G28" s="785"/>
      <c r="H28" s="598"/>
      <c r="I28" s="331" t="s">
        <v>1167</v>
      </c>
      <c r="J28" s="775"/>
      <c r="K28" s="598"/>
      <c r="L28" s="577"/>
      <c r="M28" s="774"/>
      <c r="N28" s="801"/>
      <c r="O28" s="150"/>
      <c r="P28" s="150"/>
      <c r="AH28" s="42">
        <v>0</v>
      </c>
    </row>
    <row r="29" s="42" customFormat="1" ht="0.75" hidden="1" customHeight="1" spans="1:34">
      <c r="A29" s="80"/>
      <c r="B29" s="80"/>
      <c r="C29" s="784" t="s">
        <v>1172</v>
      </c>
      <c r="D29" s="795"/>
      <c r="E29" s="294"/>
      <c r="F29" s="326"/>
      <c r="G29" s="794"/>
      <c r="H29" s="598"/>
      <c r="I29" s="331"/>
      <c r="J29" s="775"/>
      <c r="K29" s="598"/>
      <c r="L29" s="577"/>
      <c r="M29" s="774"/>
      <c r="N29" s="801"/>
      <c r="O29" s="150"/>
      <c r="P29" s="150"/>
      <c r="AH29" s="42">
        <v>0</v>
      </c>
    </row>
    <row r="30" s="42" customFormat="1" ht="45" hidden="1" customHeight="1" spans="1:34">
      <c r="A30" s="80" t="s">
        <v>169</v>
      </c>
      <c r="B30" s="80" t="s">
        <v>170</v>
      </c>
      <c r="C30" s="784"/>
      <c r="D30" s="795"/>
      <c r="E30" s="294"/>
      <c r="F30" s="32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785" t="str">
        <f>INDEX(PT_DIFFERENTIATION_NTAR,MATCH(B30,PT_DIFFERENTIATION_NTAR_ID,0))</f>
        <v/>
      </c>
      <c r="H30" s="132"/>
      <c r="I30" s="798"/>
      <c r="J30" s="799"/>
      <c r="K30" s="95"/>
      <c r="L30" s="132" t="s">
        <v>311</v>
      </c>
      <c r="M30" s="774"/>
      <c r="N30" s="801"/>
      <c r="O30" s="150"/>
      <c r="P30" s="150"/>
      <c r="AH30" s="42">
        <v>0</v>
      </c>
    </row>
    <row r="31" s="42" customFormat="1" ht="18.75" hidden="1" customHeight="1" spans="1:34">
      <c r="A31" s="80"/>
      <c r="B31" s="80"/>
      <c r="C31" s="784" t="s">
        <v>1166</v>
      </c>
      <c r="D31" s="795"/>
      <c r="E31" s="294"/>
      <c r="F31" s="326"/>
      <c r="G31" s="785"/>
      <c r="H31" s="598"/>
      <c r="I31" s="331" t="s">
        <v>1167</v>
      </c>
      <c r="J31" s="775"/>
      <c r="K31" s="598"/>
      <c r="L31" s="577"/>
      <c r="M31" s="774"/>
      <c r="N31" s="801"/>
      <c r="O31" s="150"/>
      <c r="P31" s="150"/>
      <c r="AH31" s="42">
        <v>0</v>
      </c>
    </row>
    <row r="32" s="42" customFormat="1" ht="0.75" hidden="1" customHeight="1" spans="1:34">
      <c r="A32" s="80"/>
      <c r="B32" s="80"/>
      <c r="C32" s="784" t="s">
        <v>1172</v>
      </c>
      <c r="D32" s="795"/>
      <c r="E32" s="294"/>
      <c r="F32" s="326"/>
      <c r="G32" s="794"/>
      <c r="H32" s="598"/>
      <c r="I32" s="331"/>
      <c r="J32" s="775"/>
      <c r="K32" s="598"/>
      <c r="L32" s="577"/>
      <c r="M32" s="774"/>
      <c r="N32" s="801"/>
      <c r="O32" s="150"/>
      <c r="P32" s="150"/>
      <c r="AH32" s="42">
        <v>0</v>
      </c>
    </row>
    <row r="33" s="42" customFormat="1" ht="45" hidden="1" customHeight="1" spans="1:34">
      <c r="A33" s="80" t="s">
        <v>175</v>
      </c>
      <c r="B33" s="80" t="s">
        <v>176</v>
      </c>
      <c r="C33" s="784"/>
      <c r="D33" s="795"/>
      <c r="E33" s="294"/>
      <c r="F33" s="32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785" t="str">
        <f>INDEX(PT_DIFFERENTIATION_NTAR,MATCH(B33,PT_DIFFERENTIATION_NTAR_ID,0))</f>
        <v/>
      </c>
      <c r="H33" s="132"/>
      <c r="I33" s="798"/>
      <c r="J33" s="799"/>
      <c r="K33" s="95"/>
      <c r="L33" s="132" t="s">
        <v>311</v>
      </c>
      <c r="M33" s="774"/>
      <c r="N33" s="801"/>
      <c r="O33" s="150"/>
      <c r="P33" s="150"/>
      <c r="AH33" s="42">
        <v>0</v>
      </c>
    </row>
    <row r="34" s="42" customFormat="1" ht="18.75" hidden="1" customHeight="1" spans="1:34">
      <c r="A34" s="80"/>
      <c r="B34" s="80"/>
      <c r="C34" s="784" t="s">
        <v>1166</v>
      </c>
      <c r="D34" s="795"/>
      <c r="E34" s="294"/>
      <c r="F34" s="326"/>
      <c r="G34" s="785"/>
      <c r="H34" s="598"/>
      <c r="I34" s="331" t="s">
        <v>1167</v>
      </c>
      <c r="J34" s="775"/>
      <c r="K34" s="598"/>
      <c r="L34" s="577"/>
      <c r="M34" s="774"/>
      <c r="N34" s="801"/>
      <c r="O34" s="150"/>
      <c r="P34" s="150"/>
      <c r="AH34" s="42">
        <v>0</v>
      </c>
    </row>
    <row r="35" s="42" customFormat="1" ht="0.75" hidden="1" customHeight="1" spans="1:34">
      <c r="A35" s="80"/>
      <c r="B35" s="80"/>
      <c r="C35" s="784" t="s">
        <v>1172</v>
      </c>
      <c r="D35" s="795"/>
      <c r="E35" s="294"/>
      <c r="F35" s="326"/>
      <c r="G35" s="794"/>
      <c r="H35" s="598"/>
      <c r="I35" s="331"/>
      <c r="J35" s="775"/>
      <c r="K35" s="598"/>
      <c r="L35" s="577"/>
      <c r="M35" s="774"/>
      <c r="N35" s="801"/>
      <c r="O35" s="150"/>
      <c r="P35" s="150"/>
      <c r="AH35" s="42">
        <v>0</v>
      </c>
    </row>
    <row r="36" s="42" customFormat="1" ht="18.75" hidden="1" customHeight="1" spans="1:34">
      <c r="A36" s="80" t="s">
        <v>181</v>
      </c>
      <c r="B36" s="80" t="s">
        <v>182</v>
      </c>
      <c r="C36" s="784"/>
      <c r="D36" s="795"/>
      <c r="E36" s="294"/>
      <c r="F36" s="326" t="str">
        <f>INDEX(PT_DIFFERENTIATION_VTAR,MATCH(A36,PT_DIFFERENTIATION_VTAR_ID,0))</f>
        <v>Тарифы на услуги по передаче тепловой энергии</v>
      </c>
      <c r="G36" s="785" t="str">
        <f>INDEX(PT_DIFFERENTIATION_NTAR,MATCH(B36,PT_DIFFERENTIATION_NTAR_ID,0))</f>
        <v/>
      </c>
      <c r="H36" s="132"/>
      <c r="I36" s="798"/>
      <c r="J36" s="799"/>
      <c r="K36" s="95"/>
      <c r="L36" s="132" t="s">
        <v>311</v>
      </c>
      <c r="M36" s="774"/>
      <c r="N36" s="801"/>
      <c r="O36" s="150"/>
      <c r="P36" s="150"/>
      <c r="AH36" s="42">
        <v>0</v>
      </c>
    </row>
    <row r="37" s="42" customFormat="1" ht="18.75" hidden="1" customHeight="1" spans="1:34">
      <c r="A37" s="80"/>
      <c r="B37" s="80"/>
      <c r="C37" s="784" t="s">
        <v>1166</v>
      </c>
      <c r="D37" s="795"/>
      <c r="E37" s="294"/>
      <c r="F37" s="326"/>
      <c r="G37" s="785"/>
      <c r="H37" s="598"/>
      <c r="I37" s="331" t="s">
        <v>1167</v>
      </c>
      <c r="J37" s="775"/>
      <c r="K37" s="598"/>
      <c r="L37" s="577"/>
      <c r="M37" s="774"/>
      <c r="N37" s="801"/>
      <c r="O37" s="150"/>
      <c r="P37" s="150"/>
      <c r="AH37" s="42">
        <v>0</v>
      </c>
    </row>
    <row r="38" s="42" customFormat="1" ht="0.75" hidden="1" customHeight="1" spans="1:34">
      <c r="A38" s="80"/>
      <c r="B38" s="80"/>
      <c r="C38" s="784" t="s">
        <v>1172</v>
      </c>
      <c r="D38" s="795"/>
      <c r="E38" s="294"/>
      <c r="F38" s="326"/>
      <c r="G38" s="794"/>
      <c r="H38" s="598"/>
      <c r="I38" s="331"/>
      <c r="J38" s="775"/>
      <c r="K38" s="598"/>
      <c r="L38" s="577"/>
      <c r="M38" s="774"/>
      <c r="N38" s="801"/>
      <c r="O38" s="150"/>
      <c r="P38" s="150"/>
      <c r="AH38" s="42">
        <v>0</v>
      </c>
    </row>
    <row r="39" s="42" customFormat="1" ht="18.75" hidden="1" customHeight="1" spans="1:34">
      <c r="A39" s="80" t="s">
        <v>187</v>
      </c>
      <c r="B39" s="80" t="s">
        <v>188</v>
      </c>
      <c r="C39" s="784"/>
      <c r="D39" s="795"/>
      <c r="E39" s="294"/>
      <c r="F39" s="326" t="str">
        <f>INDEX(PT_DIFFERENTIATION_VTAR,MATCH(A39,PT_DIFFERENTIATION_VTAR_ID,0))</f>
        <v>Тарифы на услуги по передаче теплоносителя</v>
      </c>
      <c r="G39" s="785" t="str">
        <f>INDEX(PT_DIFFERENTIATION_NTAR,MATCH(B39,PT_DIFFERENTIATION_NTAR_ID,0))</f>
        <v/>
      </c>
      <c r="H39" s="132"/>
      <c r="I39" s="798"/>
      <c r="J39" s="799"/>
      <c r="K39" s="95"/>
      <c r="L39" s="132" t="s">
        <v>311</v>
      </c>
      <c r="M39" s="774"/>
      <c r="N39" s="801"/>
      <c r="O39" s="150"/>
      <c r="P39" s="150"/>
      <c r="AH39" s="42">
        <v>0</v>
      </c>
    </row>
    <row r="40" s="42" customFormat="1" ht="18.75" hidden="1" customHeight="1" spans="1:34">
      <c r="A40" s="80"/>
      <c r="B40" s="80"/>
      <c r="C40" s="784" t="s">
        <v>1166</v>
      </c>
      <c r="D40" s="795"/>
      <c r="E40" s="294"/>
      <c r="F40" s="326"/>
      <c r="G40" s="785"/>
      <c r="H40" s="598"/>
      <c r="I40" s="331" t="s">
        <v>1167</v>
      </c>
      <c r="J40" s="775"/>
      <c r="K40" s="598"/>
      <c r="L40" s="577"/>
      <c r="M40" s="774"/>
      <c r="N40" s="801"/>
      <c r="O40" s="150"/>
      <c r="P40" s="150"/>
      <c r="AH40" s="42">
        <v>0</v>
      </c>
    </row>
    <row r="41" s="42" customFormat="1" ht="0.75" hidden="1" customHeight="1" spans="1:34">
      <c r="A41" s="80"/>
      <c r="B41" s="80"/>
      <c r="C41" s="784" t="s">
        <v>1172</v>
      </c>
      <c r="D41" s="795"/>
      <c r="E41" s="294"/>
      <c r="F41" s="326"/>
      <c r="G41" s="794"/>
      <c r="H41" s="598"/>
      <c r="I41" s="331"/>
      <c r="J41" s="775"/>
      <c r="K41" s="598"/>
      <c r="L41" s="577"/>
      <c r="M41" s="774"/>
      <c r="N41" s="801"/>
      <c r="O41" s="150"/>
      <c r="P41" s="150"/>
      <c r="AH41" s="42">
        <v>0</v>
      </c>
    </row>
    <row r="42" s="42" customFormat="1" ht="18.75" hidden="1" customHeight="1" spans="1:34">
      <c r="A42" s="80" t="s">
        <v>193</v>
      </c>
      <c r="B42" s="80" t="s">
        <v>194</v>
      </c>
      <c r="C42" s="784"/>
      <c r="D42" s="795"/>
      <c r="E42" s="294"/>
      <c r="F42" s="326" t="str">
        <f>INDEX(PT_DIFFERENTIATION_VTAR,MATCH(A42,PT_DIFFERENTIATION_VTAR_ID,0))</f>
        <v>Плата за услуги по поддержанию резервной тепловой мощности при отсутствии потребления тепловой энергии</v>
      </c>
      <c r="G42" s="785" t="str">
        <f>INDEX(PT_DIFFERENTIATION_NTAR,MATCH(B42,PT_DIFFERENTIATION_NTAR_ID,0))</f>
        <v/>
      </c>
      <c r="H42" s="132"/>
      <c r="I42" s="798"/>
      <c r="J42" s="799"/>
      <c r="K42" s="95"/>
      <c r="L42" s="132" t="s">
        <v>311</v>
      </c>
      <c r="M42" s="774"/>
      <c r="N42" s="801"/>
      <c r="O42" s="150"/>
      <c r="P42" s="150"/>
      <c r="AH42" s="42">
        <v>0</v>
      </c>
    </row>
    <row r="43" s="42" customFormat="1" ht="18.75" hidden="1" customHeight="1" spans="1:34">
      <c r="A43" s="80"/>
      <c r="B43" s="80"/>
      <c r="C43" s="784" t="s">
        <v>1166</v>
      </c>
      <c r="D43" s="795"/>
      <c r="E43" s="294"/>
      <c r="F43" s="326"/>
      <c r="G43" s="785"/>
      <c r="H43" s="598"/>
      <c r="I43" s="331" t="s">
        <v>1167</v>
      </c>
      <c r="J43" s="775"/>
      <c r="K43" s="598"/>
      <c r="L43" s="577"/>
      <c r="M43" s="774"/>
      <c r="N43" s="801"/>
      <c r="O43" s="150"/>
      <c r="P43" s="150"/>
      <c r="AH43" s="42">
        <v>0</v>
      </c>
    </row>
    <row r="44" s="42" customFormat="1" ht="0.75" hidden="1" customHeight="1" spans="1:34">
      <c r="A44" s="80"/>
      <c r="B44" s="80"/>
      <c r="C44" s="784" t="s">
        <v>1172</v>
      </c>
      <c r="D44" s="795"/>
      <c r="E44" s="294"/>
      <c r="F44" s="326"/>
      <c r="G44" s="794"/>
      <c r="H44" s="598"/>
      <c r="I44" s="331"/>
      <c r="J44" s="775"/>
      <c r="K44" s="598"/>
      <c r="L44" s="577"/>
      <c r="M44" s="774"/>
      <c r="N44" s="801"/>
      <c r="O44" s="150"/>
      <c r="P44" s="150"/>
      <c r="AH44" s="42">
        <v>0</v>
      </c>
    </row>
    <row r="45" s="42" customFormat="1" ht="18.75" hidden="1" customHeight="1" spans="1:34">
      <c r="A45" s="80" t="s">
        <v>199</v>
      </c>
      <c r="B45" s="80" t="s">
        <v>200</v>
      </c>
      <c r="C45" s="784"/>
      <c r="D45" s="795"/>
      <c r="E45" s="294"/>
      <c r="F45" s="326" t="str">
        <f>INDEX(PT_DIFFERENTIATION_VTAR,MATCH(A45,PT_DIFFERENTIATION_VTAR_ID,0))</f>
        <v>Плата за подключение (технологическое присоединение) к системе теплоснабжения</v>
      </c>
      <c r="G45" s="785" t="str">
        <f>INDEX(PT_DIFFERENTIATION_NTAR,MATCH(B45,PT_DIFFERENTIATION_NTAR_ID,0))</f>
        <v/>
      </c>
      <c r="H45" s="132"/>
      <c r="I45" s="798"/>
      <c r="J45" s="799"/>
      <c r="K45" s="95"/>
      <c r="L45" s="132" t="s">
        <v>311</v>
      </c>
      <c r="M45" s="774"/>
      <c r="N45" s="801"/>
      <c r="O45" s="150"/>
      <c r="P45" s="150"/>
      <c r="AH45" s="42">
        <v>0</v>
      </c>
    </row>
    <row r="46" s="42" customFormat="1" ht="18.75" hidden="1" customHeight="1" spans="1:34">
      <c r="A46" s="80"/>
      <c r="B46" s="80"/>
      <c r="C46" s="784" t="s">
        <v>1166</v>
      </c>
      <c r="D46" s="795"/>
      <c r="E46" s="294"/>
      <c r="F46" s="326"/>
      <c r="G46" s="785"/>
      <c r="H46" s="598"/>
      <c r="I46" s="331" t="s">
        <v>1167</v>
      </c>
      <c r="J46" s="775"/>
      <c r="K46" s="598"/>
      <c r="L46" s="577"/>
      <c r="M46" s="774"/>
      <c r="N46" s="801"/>
      <c r="O46" s="150"/>
      <c r="P46" s="150"/>
      <c r="AH46" s="42">
        <v>0</v>
      </c>
    </row>
    <row r="47" s="42" customFormat="1" ht="0.75" hidden="1" customHeight="1" spans="1:34">
      <c r="A47" s="80"/>
      <c r="B47" s="80"/>
      <c r="C47" s="784" t="s">
        <v>1172</v>
      </c>
      <c r="D47" s="795"/>
      <c r="E47" s="294"/>
      <c r="F47" s="326"/>
      <c r="G47" s="794"/>
      <c r="H47" s="598"/>
      <c r="I47" s="331"/>
      <c r="J47" s="775"/>
      <c r="K47" s="598"/>
      <c r="L47" s="577"/>
      <c r="M47" s="774"/>
      <c r="N47" s="801"/>
      <c r="O47" s="150"/>
      <c r="P47" s="150"/>
      <c r="AH47" s="42">
        <v>0</v>
      </c>
    </row>
    <row r="48" s="42" customFormat="1" ht="18.75" hidden="1" customHeight="1" spans="1:34">
      <c r="A48" s="80" t="s">
        <v>205</v>
      </c>
      <c r="B48" s="80" t="s">
        <v>206</v>
      </c>
      <c r="C48" s="784"/>
      <c r="D48" s="795"/>
      <c r="E48" s="294"/>
      <c r="F48" s="326" t="str">
        <f>INDEX(PT_DIFFERENTIATION_VTAR,MATCH(A48,PT_DIFFERENTIATION_VTAR_ID,0))</f>
        <v>Плата за подключение (технологическое присоединение) к системе теплоснабжения (индивидуальная)</v>
      </c>
      <c r="G48" s="785" t="str">
        <f>INDEX(PT_DIFFERENTIATION_NTAR,MATCH(B48,PT_DIFFERENTIATION_NTAR_ID,0))</f>
        <v/>
      </c>
      <c r="H48" s="132"/>
      <c r="I48" s="798"/>
      <c r="J48" s="799"/>
      <c r="K48" s="95"/>
      <c r="L48" s="132" t="s">
        <v>311</v>
      </c>
      <c r="M48" s="774"/>
      <c r="N48" s="801"/>
      <c r="O48" s="150"/>
      <c r="P48" s="150"/>
      <c r="AH48" s="42">
        <v>0</v>
      </c>
    </row>
    <row r="49" s="42" customFormat="1" ht="18.75" hidden="1" customHeight="1" spans="1:34">
      <c r="A49" s="80"/>
      <c r="B49" s="80"/>
      <c r="C49" s="784" t="s">
        <v>1166</v>
      </c>
      <c r="D49" s="795"/>
      <c r="E49" s="294"/>
      <c r="F49" s="326"/>
      <c r="G49" s="785"/>
      <c r="H49" s="598"/>
      <c r="I49" s="331" t="s">
        <v>1167</v>
      </c>
      <c r="J49" s="775"/>
      <c r="K49" s="598"/>
      <c r="L49" s="577"/>
      <c r="M49" s="774"/>
      <c r="N49" s="801"/>
      <c r="O49" s="150"/>
      <c r="P49" s="150"/>
      <c r="AH49" s="42">
        <v>0</v>
      </c>
    </row>
    <row r="50" s="42" customFormat="1" ht="0.75" hidden="1" customHeight="1" spans="1:34">
      <c r="A50" s="80"/>
      <c r="B50" s="80"/>
      <c r="C50" s="784" t="s">
        <v>1172</v>
      </c>
      <c r="D50" s="795"/>
      <c r="E50" s="294"/>
      <c r="F50" s="326"/>
      <c r="G50" s="794"/>
      <c r="H50" s="598"/>
      <c r="I50" s="331"/>
      <c r="J50" s="775"/>
      <c r="K50" s="598"/>
      <c r="L50" s="577"/>
      <c r="M50" s="774"/>
      <c r="N50" s="801"/>
      <c r="O50" s="150"/>
      <c r="P50" s="150"/>
      <c r="AH50" s="42">
        <v>0</v>
      </c>
    </row>
    <row r="51" s="42" customFormat="1" ht="18.75" hidden="1" customHeight="1" spans="1:34">
      <c r="A51" s="80" t="s">
        <v>225</v>
      </c>
      <c r="B51" s="80" t="s">
        <v>226</v>
      </c>
      <c r="C51" s="784"/>
      <c r="D51" s="795"/>
      <c r="E51" s="294"/>
      <c r="F51" s="326" t="str">
        <f>INDEX(PT_DIFFERENTIATION_VTAR,MATCH(A51,PT_DIFFERENTIATION_VTAR_ID,0))</f>
        <v>Тариф на питьевую воду (питьевое водоснабжение)</v>
      </c>
      <c r="G51" s="785" t="str">
        <f>INDEX(PT_DIFFERENTIATION_NTAR,MATCH(B51,PT_DIFFERENTIATION_NTAR_ID,0))</f>
        <v/>
      </c>
      <c r="H51" s="132"/>
      <c r="I51" s="798"/>
      <c r="J51" s="799"/>
      <c r="K51" s="95"/>
      <c r="L51" s="132" t="s">
        <v>311</v>
      </c>
      <c r="M51" s="774"/>
      <c r="N51" s="801"/>
      <c r="O51" s="150"/>
      <c r="P51" s="150"/>
      <c r="AH51" s="42">
        <v>0</v>
      </c>
    </row>
    <row r="52" s="42" customFormat="1" ht="18.75" hidden="1" customHeight="1" spans="1:34">
      <c r="A52" s="80"/>
      <c r="B52" s="80"/>
      <c r="C52" s="784" t="s">
        <v>1166</v>
      </c>
      <c r="D52" s="795"/>
      <c r="E52" s="294"/>
      <c r="F52" s="326"/>
      <c r="G52" s="785"/>
      <c r="H52" s="598"/>
      <c r="I52" s="331" t="s">
        <v>1167</v>
      </c>
      <c r="J52" s="775"/>
      <c r="K52" s="598"/>
      <c r="L52" s="577"/>
      <c r="M52" s="774"/>
      <c r="N52" s="801"/>
      <c r="O52" s="150"/>
      <c r="P52" s="150"/>
      <c r="AH52" s="42">
        <v>0</v>
      </c>
    </row>
    <row r="53" s="42" customFormat="1" ht="0.75" hidden="1" customHeight="1" spans="1:34">
      <c r="A53" s="80"/>
      <c r="B53" s="80"/>
      <c r="C53" s="784" t="s">
        <v>1172</v>
      </c>
      <c r="D53" s="795"/>
      <c r="E53" s="294"/>
      <c r="F53" s="326"/>
      <c r="G53" s="794"/>
      <c r="H53" s="598"/>
      <c r="I53" s="331"/>
      <c r="J53" s="775"/>
      <c r="K53" s="598"/>
      <c r="L53" s="577"/>
      <c r="M53" s="774"/>
      <c r="N53" s="801"/>
      <c r="O53" s="150"/>
      <c r="P53" s="150"/>
      <c r="AH53" s="42">
        <v>0</v>
      </c>
    </row>
    <row r="54" s="42" customFormat="1" ht="18.75" hidden="1" customHeight="1" spans="1:34">
      <c r="A54" s="80" t="s">
        <v>230</v>
      </c>
      <c r="B54" s="80" t="s">
        <v>231</v>
      </c>
      <c r="C54" s="784"/>
      <c r="D54" s="795"/>
      <c r="E54" s="294"/>
      <c r="F54" s="326" t="str">
        <f>INDEX(PT_DIFFERENTIATION_VTAR,MATCH(A54,PT_DIFFERENTIATION_VTAR_ID,0))</f>
        <v>Тариф на техническую воду</v>
      </c>
      <c r="G54" s="785" t="str">
        <f>INDEX(PT_DIFFERENTIATION_NTAR,MATCH(B54,PT_DIFFERENTIATION_NTAR_ID,0))</f>
        <v/>
      </c>
      <c r="H54" s="132"/>
      <c r="I54" s="798"/>
      <c r="J54" s="799"/>
      <c r="K54" s="95"/>
      <c r="L54" s="132" t="s">
        <v>311</v>
      </c>
      <c r="M54" s="774"/>
      <c r="N54" s="801"/>
      <c r="O54" s="150"/>
      <c r="P54" s="150"/>
      <c r="AH54" s="42">
        <v>0</v>
      </c>
    </row>
    <row r="55" s="42" customFormat="1" ht="18.75" hidden="1" customHeight="1" spans="1:34">
      <c r="A55" s="80"/>
      <c r="B55" s="80"/>
      <c r="C55" s="784" t="s">
        <v>1166</v>
      </c>
      <c r="D55" s="795"/>
      <c r="E55" s="294"/>
      <c r="F55" s="326"/>
      <c r="G55" s="785"/>
      <c r="H55" s="598"/>
      <c r="I55" s="331" t="s">
        <v>1167</v>
      </c>
      <c r="J55" s="775"/>
      <c r="K55" s="598"/>
      <c r="L55" s="577"/>
      <c r="M55" s="774"/>
      <c r="N55" s="801"/>
      <c r="O55" s="150"/>
      <c r="P55" s="150"/>
      <c r="AH55" s="42">
        <v>0</v>
      </c>
    </row>
    <row r="56" s="42" customFormat="1" ht="0.75" hidden="1" customHeight="1" spans="1:34">
      <c r="A56" s="80"/>
      <c r="B56" s="80"/>
      <c r="C56" s="784" t="s">
        <v>1172</v>
      </c>
      <c r="D56" s="795"/>
      <c r="E56" s="294"/>
      <c r="F56" s="326"/>
      <c r="G56" s="794"/>
      <c r="H56" s="598"/>
      <c r="I56" s="331"/>
      <c r="J56" s="775"/>
      <c r="K56" s="598"/>
      <c r="L56" s="577"/>
      <c r="M56" s="774"/>
      <c r="N56" s="801"/>
      <c r="O56" s="150"/>
      <c r="P56" s="150"/>
      <c r="AH56" s="42">
        <v>0</v>
      </c>
    </row>
    <row r="57" s="42" customFormat="1" ht="18.75" hidden="1" customHeight="1" spans="1:34">
      <c r="A57" s="80" t="s">
        <v>235</v>
      </c>
      <c r="B57" s="80" t="s">
        <v>236</v>
      </c>
      <c r="C57" s="784"/>
      <c r="D57" s="795"/>
      <c r="E57" s="294"/>
      <c r="F57" s="326" t="str">
        <f>INDEX(PT_DIFFERENTIATION_VTAR,MATCH(A57,PT_DIFFERENTIATION_VTAR_ID,0))</f>
        <v>Тариф на транспортировку воды</v>
      </c>
      <c r="G57" s="785" t="str">
        <f>INDEX(PT_DIFFERENTIATION_NTAR,MATCH(B57,PT_DIFFERENTIATION_NTAR_ID,0))</f>
        <v/>
      </c>
      <c r="H57" s="132"/>
      <c r="I57" s="798"/>
      <c r="J57" s="799"/>
      <c r="K57" s="95"/>
      <c r="L57" s="132" t="s">
        <v>311</v>
      </c>
      <c r="M57" s="774"/>
      <c r="N57" s="801"/>
      <c r="O57" s="150"/>
      <c r="P57" s="150"/>
      <c r="AH57" s="42">
        <v>0</v>
      </c>
    </row>
    <row r="58" s="42" customFormat="1" ht="18.75" hidden="1" customHeight="1" spans="1:34">
      <c r="A58" s="80"/>
      <c r="B58" s="80"/>
      <c r="C58" s="784" t="s">
        <v>1166</v>
      </c>
      <c r="D58" s="795"/>
      <c r="E58" s="294"/>
      <c r="F58" s="326"/>
      <c r="G58" s="785"/>
      <c r="H58" s="598"/>
      <c r="I58" s="331" t="s">
        <v>1167</v>
      </c>
      <c r="J58" s="775"/>
      <c r="K58" s="598"/>
      <c r="L58" s="577"/>
      <c r="M58" s="774"/>
      <c r="N58" s="801"/>
      <c r="O58" s="150"/>
      <c r="P58" s="150"/>
      <c r="AH58" s="42">
        <v>0</v>
      </c>
    </row>
    <row r="59" s="42" customFormat="1" ht="0.75" hidden="1" customHeight="1" spans="1:34">
      <c r="A59" s="80"/>
      <c r="B59" s="80"/>
      <c r="C59" s="784" t="s">
        <v>1172</v>
      </c>
      <c r="D59" s="795"/>
      <c r="E59" s="294"/>
      <c r="F59" s="326"/>
      <c r="G59" s="794"/>
      <c r="H59" s="598"/>
      <c r="I59" s="331"/>
      <c r="J59" s="775"/>
      <c r="K59" s="598"/>
      <c r="L59" s="577"/>
      <c r="M59" s="774"/>
      <c r="N59" s="801"/>
      <c r="O59" s="150"/>
      <c r="P59" s="150"/>
      <c r="AH59" s="42">
        <v>0</v>
      </c>
    </row>
    <row r="60" s="42" customFormat="1" ht="18.75" hidden="1" customHeight="1" spans="1:34">
      <c r="A60" s="80" t="s">
        <v>240</v>
      </c>
      <c r="B60" s="80" t="s">
        <v>241</v>
      </c>
      <c r="C60" s="784"/>
      <c r="D60" s="795"/>
      <c r="E60" s="294"/>
      <c r="F60" s="326" t="str">
        <f>INDEX(PT_DIFFERENTIATION_VTAR,MATCH(A60,PT_DIFFERENTIATION_VTAR_ID,0))</f>
        <v>Тариф на подвоз воды</v>
      </c>
      <c r="G60" s="785" t="str">
        <f>INDEX(PT_DIFFERENTIATION_NTAR,MATCH(B60,PT_DIFFERENTIATION_NTAR_ID,0))</f>
        <v/>
      </c>
      <c r="H60" s="132"/>
      <c r="I60" s="798"/>
      <c r="J60" s="799"/>
      <c r="K60" s="95"/>
      <c r="L60" s="132" t="s">
        <v>311</v>
      </c>
      <c r="M60" s="774"/>
      <c r="N60" s="801"/>
      <c r="O60" s="150"/>
      <c r="P60" s="150"/>
      <c r="AH60" s="42">
        <v>0</v>
      </c>
    </row>
    <row r="61" s="42" customFormat="1" ht="18.75" hidden="1" customHeight="1" spans="1:34">
      <c r="A61" s="80"/>
      <c r="B61" s="80"/>
      <c r="C61" s="784" t="s">
        <v>1166</v>
      </c>
      <c r="D61" s="795"/>
      <c r="E61" s="294"/>
      <c r="F61" s="326"/>
      <c r="G61" s="785"/>
      <c r="H61" s="598"/>
      <c r="I61" s="331" t="s">
        <v>1167</v>
      </c>
      <c r="J61" s="775"/>
      <c r="K61" s="598"/>
      <c r="L61" s="577"/>
      <c r="M61" s="774"/>
      <c r="N61" s="801"/>
      <c r="O61" s="150"/>
      <c r="P61" s="150"/>
      <c r="AH61" s="42">
        <v>0</v>
      </c>
    </row>
    <row r="62" s="42" customFormat="1" ht="0.75" hidden="1" customHeight="1" spans="1:34">
      <c r="A62" s="80"/>
      <c r="B62" s="80"/>
      <c r="C62" s="784" t="s">
        <v>1172</v>
      </c>
      <c r="D62" s="795"/>
      <c r="E62" s="294"/>
      <c r="F62" s="326"/>
      <c r="G62" s="794"/>
      <c r="H62" s="598"/>
      <c r="I62" s="331"/>
      <c r="J62" s="775"/>
      <c r="K62" s="598"/>
      <c r="L62" s="577"/>
      <c r="M62" s="774"/>
      <c r="N62" s="801"/>
      <c r="O62" s="150"/>
      <c r="P62" s="150"/>
      <c r="AH62" s="42">
        <v>0</v>
      </c>
    </row>
    <row r="63" s="42" customFormat="1" ht="18.75" hidden="1" customHeight="1" spans="1:34">
      <c r="A63" s="80" t="s">
        <v>247</v>
      </c>
      <c r="B63" s="80" t="s">
        <v>248</v>
      </c>
      <c r="C63" s="784"/>
      <c r="D63" s="795"/>
      <c r="E63" s="294"/>
      <c r="F63" s="326" t="str">
        <f>INDEX(PT_DIFFERENTIATION_VTAR,MATCH(A63,PT_DIFFERENTIATION_VTAR_ID,0))</f>
        <v>Тариф на подключение (технологическое присоединение) к централизованной системе холодного водоснабжения</v>
      </c>
      <c r="G63" s="785" t="str">
        <f>INDEX(PT_DIFFERENTIATION_NTAR,MATCH(B63,PT_DIFFERENTIATION_NTAR_ID,0))</f>
        <v>Подключение (технологическое присоединение) к централизованной системе водоснабжения
</v>
      </c>
      <c r="H63" s="132"/>
      <c r="I63" s="798"/>
      <c r="J63" s="799"/>
      <c r="K63" s="95"/>
      <c r="L63" s="132" t="s">
        <v>311</v>
      </c>
      <c r="M63" s="774"/>
      <c r="N63" s="801"/>
      <c r="O63" s="150"/>
      <c r="P63" s="150"/>
      <c r="AH63" s="42">
        <v>0</v>
      </c>
    </row>
    <row r="64" s="42" customFormat="1" ht="18.75" hidden="1" customHeight="1" spans="1:34">
      <c r="A64" s="80"/>
      <c r="B64" s="80"/>
      <c r="C64" s="784" t="s">
        <v>1166</v>
      </c>
      <c r="D64" s="795"/>
      <c r="E64" s="294"/>
      <c r="F64" s="326"/>
      <c r="G64" s="785"/>
      <c r="H64" s="598"/>
      <c r="I64" s="331" t="s">
        <v>1167</v>
      </c>
      <c r="J64" s="775"/>
      <c r="K64" s="598"/>
      <c r="L64" s="577"/>
      <c r="M64" s="774"/>
      <c r="N64" s="801"/>
      <c r="O64" s="150"/>
      <c r="P64" s="150"/>
      <c r="AH64" s="42">
        <v>0</v>
      </c>
    </row>
    <row r="65" s="42" customFormat="1" ht="0.75" hidden="1" customHeight="1" spans="1:34">
      <c r="A65" s="80"/>
      <c r="B65" s="80"/>
      <c r="C65" s="784" t="s">
        <v>1172</v>
      </c>
      <c r="D65" s="795"/>
      <c r="E65" s="294"/>
      <c r="F65" s="326"/>
      <c r="G65" s="794"/>
      <c r="H65" s="598"/>
      <c r="I65" s="331"/>
      <c r="J65" s="775"/>
      <c r="K65" s="598"/>
      <c r="L65" s="577"/>
      <c r="M65" s="774"/>
      <c r="N65" s="801"/>
      <c r="O65" s="150"/>
      <c r="P65" s="150"/>
      <c r="AH65" s="42">
        <v>0</v>
      </c>
    </row>
    <row r="66" s="42" customFormat="1" ht="18.75" hidden="1" customHeight="1" spans="1:34">
      <c r="A66" s="80" t="s">
        <v>255</v>
      </c>
      <c r="B66" s="80" t="s">
        <v>256</v>
      </c>
      <c r="C66" s="784"/>
      <c r="D66" s="795"/>
      <c r="E66" s="294"/>
      <c r="F66" s="326" t="str">
        <f>INDEX(PT_DIFFERENTIATION_VTAR,MATCH(A66,PT_DIFFERENTIATION_VTAR_ID,0))</f>
        <v>Тариф на горячую воду (горячее водоснабжение)</v>
      </c>
      <c r="G66" s="785" t="str">
        <f>INDEX(PT_DIFFERENTIATION_NTAR,MATCH(B66,PT_DIFFERENTIATION_NTAR_ID,0))</f>
        <v/>
      </c>
      <c r="H66" s="132"/>
      <c r="I66" s="798"/>
      <c r="J66" s="799"/>
      <c r="K66" s="95"/>
      <c r="L66" s="132" t="s">
        <v>311</v>
      </c>
      <c r="M66" s="774"/>
      <c r="N66" s="801"/>
      <c r="O66" s="150"/>
      <c r="P66" s="150"/>
      <c r="AH66" s="42">
        <v>0</v>
      </c>
    </row>
    <row r="67" s="42" customFormat="1" ht="18.75" hidden="1" customHeight="1" spans="1:34">
      <c r="A67" s="80"/>
      <c r="B67" s="80"/>
      <c r="C67" s="784" t="s">
        <v>1166</v>
      </c>
      <c r="D67" s="795"/>
      <c r="E67" s="294"/>
      <c r="F67" s="326"/>
      <c r="G67" s="785"/>
      <c r="H67" s="598"/>
      <c r="I67" s="331" t="s">
        <v>1167</v>
      </c>
      <c r="J67" s="775"/>
      <c r="K67" s="598"/>
      <c r="L67" s="577"/>
      <c r="M67" s="774"/>
      <c r="N67" s="801"/>
      <c r="O67" s="150"/>
      <c r="P67" s="150"/>
      <c r="AH67" s="42">
        <v>0</v>
      </c>
    </row>
    <row r="68" s="42" customFormat="1" ht="0.75" hidden="1" customHeight="1" spans="1:34">
      <c r="A68" s="80"/>
      <c r="B68" s="80"/>
      <c r="C68" s="784" t="s">
        <v>1172</v>
      </c>
      <c r="D68" s="795"/>
      <c r="E68" s="294"/>
      <c r="F68" s="326"/>
      <c r="G68" s="794"/>
      <c r="H68" s="598"/>
      <c r="I68" s="331"/>
      <c r="J68" s="775"/>
      <c r="K68" s="598"/>
      <c r="L68" s="577"/>
      <c r="M68" s="774"/>
      <c r="N68" s="801"/>
      <c r="O68" s="150"/>
      <c r="P68" s="150"/>
      <c r="AH68" s="42">
        <v>0</v>
      </c>
    </row>
    <row r="69" s="42" customFormat="1" ht="18.75" hidden="1" customHeight="1" spans="1:34">
      <c r="A69" s="80" t="s">
        <v>260</v>
      </c>
      <c r="B69" s="80" t="s">
        <v>261</v>
      </c>
      <c r="C69" s="784"/>
      <c r="D69" s="795"/>
      <c r="E69" s="294"/>
      <c r="F69" s="326" t="str">
        <f>INDEX(PT_DIFFERENTIATION_VTAR,MATCH(A69,PT_DIFFERENTIATION_VTAR_ID,0))</f>
        <v>Тариф на транспортировку горячей воды</v>
      </c>
      <c r="G69" s="785" t="str">
        <f>INDEX(PT_DIFFERENTIATION_NTAR,MATCH(B69,PT_DIFFERENTIATION_NTAR_ID,0))</f>
        <v/>
      </c>
      <c r="H69" s="132"/>
      <c r="I69" s="798"/>
      <c r="J69" s="799"/>
      <c r="K69" s="95"/>
      <c r="L69" s="132" t="s">
        <v>311</v>
      </c>
      <c r="M69" s="774"/>
      <c r="N69" s="801"/>
      <c r="O69" s="150"/>
      <c r="P69" s="150"/>
      <c r="AH69" s="42">
        <v>0</v>
      </c>
    </row>
    <row r="70" s="42" customFormat="1" ht="18.75" hidden="1" customHeight="1" spans="1:34">
      <c r="A70" s="80"/>
      <c r="B70" s="80"/>
      <c r="C70" s="784" t="s">
        <v>1166</v>
      </c>
      <c r="D70" s="795"/>
      <c r="E70" s="294"/>
      <c r="F70" s="326"/>
      <c r="G70" s="785"/>
      <c r="H70" s="598"/>
      <c r="I70" s="331" t="s">
        <v>1167</v>
      </c>
      <c r="J70" s="775"/>
      <c r="K70" s="598"/>
      <c r="L70" s="577"/>
      <c r="M70" s="774"/>
      <c r="N70" s="801"/>
      <c r="O70" s="150"/>
      <c r="P70" s="150"/>
      <c r="AH70" s="42">
        <v>0</v>
      </c>
    </row>
    <row r="71" s="42" customFormat="1" ht="0.75" hidden="1" customHeight="1" spans="1:34">
      <c r="A71" s="80"/>
      <c r="B71" s="80"/>
      <c r="C71" s="784" t="s">
        <v>1172</v>
      </c>
      <c r="D71" s="795"/>
      <c r="E71" s="294"/>
      <c r="F71" s="326"/>
      <c r="G71" s="794"/>
      <c r="H71" s="598"/>
      <c r="I71" s="331"/>
      <c r="J71" s="775"/>
      <c r="K71" s="598"/>
      <c r="L71" s="577"/>
      <c r="M71" s="774"/>
      <c r="N71" s="801"/>
      <c r="O71" s="150"/>
      <c r="P71" s="150"/>
      <c r="AH71" s="42">
        <v>0</v>
      </c>
    </row>
    <row r="72" s="42" customFormat="1" ht="18.75" hidden="1" customHeight="1" spans="1:34">
      <c r="A72" s="80" t="s">
        <v>265</v>
      </c>
      <c r="B72" s="80" t="s">
        <v>266</v>
      </c>
      <c r="C72" s="784"/>
      <c r="D72" s="795"/>
      <c r="E72" s="294"/>
      <c r="F72" s="326" t="str">
        <f>INDEX(PT_DIFFERENTIATION_VTAR,MATCH(A72,PT_DIFFERENTIATION_VTAR_ID,0))</f>
        <v>Тариф на подключение (технологическое присоединение) к централизованной системе горячего водоснабжения</v>
      </c>
      <c r="G72" s="785" t="str">
        <f>INDEX(PT_DIFFERENTIATION_NTAR,MATCH(B72,PT_DIFFERENTIATION_NTAR_ID,0))</f>
        <v/>
      </c>
      <c r="H72" s="132"/>
      <c r="I72" s="798"/>
      <c r="J72" s="799"/>
      <c r="K72" s="95"/>
      <c r="L72" s="132" t="s">
        <v>311</v>
      </c>
      <c r="M72" s="774"/>
      <c r="N72" s="801"/>
      <c r="O72" s="150"/>
      <c r="P72" s="150"/>
      <c r="AH72" s="42">
        <v>0</v>
      </c>
    </row>
    <row r="73" s="42" customFormat="1" ht="18.75" hidden="1" customHeight="1" spans="1:34">
      <c r="A73" s="80"/>
      <c r="B73" s="80"/>
      <c r="C73" s="784" t="s">
        <v>1166</v>
      </c>
      <c r="D73" s="795"/>
      <c r="E73" s="294"/>
      <c r="F73" s="326"/>
      <c r="G73" s="785"/>
      <c r="H73" s="598"/>
      <c r="I73" s="331" t="s">
        <v>1167</v>
      </c>
      <c r="J73" s="775"/>
      <c r="K73" s="598"/>
      <c r="L73" s="577"/>
      <c r="M73" s="774"/>
      <c r="N73" s="801"/>
      <c r="O73" s="150"/>
      <c r="P73" s="150"/>
      <c r="AH73" s="42">
        <v>0</v>
      </c>
    </row>
    <row r="74" s="42" customFormat="1" ht="0.75" hidden="1" customHeight="1" spans="1:34">
      <c r="A74" s="80"/>
      <c r="B74" s="80"/>
      <c r="C74" s="784" t="s">
        <v>1172</v>
      </c>
      <c r="D74" s="795"/>
      <c r="E74" s="294"/>
      <c r="F74" s="326"/>
      <c r="G74" s="794"/>
      <c r="H74" s="598"/>
      <c r="I74" s="331"/>
      <c r="J74" s="775"/>
      <c r="K74" s="598"/>
      <c r="L74" s="577"/>
      <c r="M74" s="774"/>
      <c r="N74" s="801"/>
      <c r="O74" s="150"/>
      <c r="P74" s="150"/>
      <c r="AH74" s="42">
        <v>0</v>
      </c>
    </row>
    <row r="75" s="42" customFormat="1" ht="18.75" hidden="1" customHeight="1" spans="1:34">
      <c r="A75" s="80" t="s">
        <v>270</v>
      </c>
      <c r="B75" s="80" t="s">
        <v>271</v>
      </c>
      <c r="C75" s="784"/>
      <c r="D75" s="795"/>
      <c r="E75" s="294"/>
      <c r="F75" s="326" t="str">
        <f>INDEX(PT_DIFFERENTIATION_VTAR,MATCH(A75,PT_DIFFERENTIATION_VTAR_ID,0))</f>
        <v>Тариф на водоотведение</v>
      </c>
      <c r="G75" s="785" t="str">
        <f>INDEX(PT_DIFFERENTIATION_NTAR,MATCH(B75,PT_DIFFERENTIATION_NTAR_ID,0))</f>
        <v/>
      </c>
      <c r="H75" s="132"/>
      <c r="I75" s="798"/>
      <c r="J75" s="799"/>
      <c r="K75" s="95"/>
      <c r="L75" s="132" t="s">
        <v>311</v>
      </c>
      <c r="M75" s="774"/>
      <c r="N75" s="801"/>
      <c r="O75" s="150"/>
      <c r="P75" s="150"/>
      <c r="AH75" s="42">
        <v>0</v>
      </c>
    </row>
    <row r="76" s="42" customFormat="1" ht="18.75" hidden="1" customHeight="1" spans="1:34">
      <c r="A76" s="80"/>
      <c r="B76" s="80"/>
      <c r="C76" s="784" t="s">
        <v>1166</v>
      </c>
      <c r="D76" s="795"/>
      <c r="E76" s="294"/>
      <c r="F76" s="326"/>
      <c r="G76" s="785"/>
      <c r="H76" s="598"/>
      <c r="I76" s="331" t="s">
        <v>1167</v>
      </c>
      <c r="J76" s="775"/>
      <c r="K76" s="598"/>
      <c r="L76" s="577"/>
      <c r="M76" s="774"/>
      <c r="N76" s="801"/>
      <c r="O76" s="150"/>
      <c r="P76" s="150"/>
      <c r="AH76" s="42">
        <v>0</v>
      </c>
    </row>
    <row r="77" s="42" customFormat="1" ht="0.75" hidden="1" customHeight="1" spans="1:34">
      <c r="A77" s="80"/>
      <c r="B77" s="80"/>
      <c r="C77" s="784" t="s">
        <v>1172</v>
      </c>
      <c r="D77" s="795"/>
      <c r="E77" s="294"/>
      <c r="F77" s="326"/>
      <c r="G77" s="794"/>
      <c r="H77" s="598"/>
      <c r="I77" s="331"/>
      <c r="J77" s="775"/>
      <c r="K77" s="598"/>
      <c r="L77" s="577"/>
      <c r="M77" s="774"/>
      <c r="N77" s="801"/>
      <c r="O77" s="150"/>
      <c r="P77" s="150"/>
      <c r="AH77" s="42">
        <v>0</v>
      </c>
    </row>
    <row r="78" s="42" customFormat="1" ht="18.75" hidden="1" customHeight="1" spans="1:34">
      <c r="A78" s="80" t="s">
        <v>275</v>
      </c>
      <c r="B78" s="80" t="s">
        <v>276</v>
      </c>
      <c r="C78" s="784"/>
      <c r="D78" s="795"/>
      <c r="E78" s="294"/>
      <c r="F78" s="326" t="str">
        <f>INDEX(PT_DIFFERENTIATION_VTAR,MATCH(A78,PT_DIFFERENTIATION_VTAR_ID,0))</f>
        <v>Тариф на транспортировку сточных вод</v>
      </c>
      <c r="G78" s="785" t="str">
        <f>INDEX(PT_DIFFERENTIATION_NTAR,MATCH(B78,PT_DIFFERENTIATION_NTAR_ID,0))</f>
        <v/>
      </c>
      <c r="H78" s="132"/>
      <c r="I78" s="798"/>
      <c r="J78" s="799"/>
      <c r="K78" s="95"/>
      <c r="L78" s="132" t="s">
        <v>311</v>
      </c>
      <c r="M78" s="774"/>
      <c r="N78" s="801"/>
      <c r="O78" s="150"/>
      <c r="P78" s="150"/>
      <c r="AH78" s="42">
        <v>0</v>
      </c>
    </row>
    <row r="79" s="42" customFormat="1" ht="18.75" hidden="1" customHeight="1" spans="1:34">
      <c r="A79" s="80"/>
      <c r="B79" s="80"/>
      <c r="C79" s="784" t="s">
        <v>1166</v>
      </c>
      <c r="D79" s="795"/>
      <c r="E79" s="294"/>
      <c r="F79" s="326"/>
      <c r="G79" s="785"/>
      <c r="H79" s="598"/>
      <c r="I79" s="331" t="s">
        <v>1167</v>
      </c>
      <c r="J79" s="775"/>
      <c r="K79" s="598"/>
      <c r="L79" s="577"/>
      <c r="M79" s="774"/>
      <c r="N79" s="801"/>
      <c r="O79" s="150"/>
      <c r="P79" s="150"/>
      <c r="AH79" s="42">
        <v>0</v>
      </c>
    </row>
    <row r="80" s="42" customFormat="1" ht="0.75" hidden="1" customHeight="1" spans="1:34">
      <c r="A80" s="80"/>
      <c r="B80" s="80"/>
      <c r="C80" s="784" t="s">
        <v>1172</v>
      </c>
      <c r="D80" s="795"/>
      <c r="E80" s="294"/>
      <c r="F80" s="326"/>
      <c r="G80" s="794"/>
      <c r="H80" s="598"/>
      <c r="I80" s="331"/>
      <c r="J80" s="775"/>
      <c r="K80" s="598"/>
      <c r="L80" s="577"/>
      <c r="M80" s="774"/>
      <c r="N80" s="801"/>
      <c r="O80" s="150"/>
      <c r="P80" s="150"/>
      <c r="AH80" s="42">
        <v>0</v>
      </c>
    </row>
    <row r="81" s="42" customFormat="1" ht="18.75" hidden="1" customHeight="1" spans="1:34">
      <c r="A81" s="80" t="s">
        <v>280</v>
      </c>
      <c r="B81" s="80" t="s">
        <v>281</v>
      </c>
      <c r="C81" s="784"/>
      <c r="D81" s="795"/>
      <c r="E81" s="294"/>
      <c r="F81" s="326" t="str">
        <f>INDEX(PT_DIFFERENTIATION_VTAR,MATCH(A81,PT_DIFFERENTIATION_VTAR_ID,0))</f>
        <v>Тариф на подключение (технологическое присоединение) к централизованной системе водоотведения</v>
      </c>
      <c r="G81" s="785" t="str">
        <f>INDEX(PT_DIFFERENTIATION_NTAR,MATCH(B81,PT_DIFFERENTIATION_NTAR_ID,0))</f>
        <v/>
      </c>
      <c r="H81" s="132"/>
      <c r="I81" s="798"/>
      <c r="J81" s="799"/>
      <c r="K81" s="95"/>
      <c r="L81" s="132" t="s">
        <v>311</v>
      </c>
      <c r="M81" s="774"/>
      <c r="N81" s="801"/>
      <c r="O81" s="150"/>
      <c r="P81" s="150"/>
      <c r="AH81" s="42">
        <v>0</v>
      </c>
    </row>
    <row r="82" s="42" customFormat="1" ht="18.75" hidden="1" customHeight="1" spans="1:34">
      <c r="A82" s="80"/>
      <c r="B82" s="80"/>
      <c r="C82" s="784" t="s">
        <v>1166</v>
      </c>
      <c r="D82" s="795"/>
      <c r="E82" s="294"/>
      <c r="F82" s="326"/>
      <c r="G82" s="785"/>
      <c r="H82" s="598"/>
      <c r="I82" s="331" t="s">
        <v>1167</v>
      </c>
      <c r="J82" s="775"/>
      <c r="K82" s="598"/>
      <c r="L82" s="577"/>
      <c r="M82" s="774"/>
      <c r="N82" s="801"/>
      <c r="O82" s="150"/>
      <c r="P82" s="150"/>
      <c r="AH82" s="42">
        <v>0</v>
      </c>
    </row>
    <row r="83" s="42" customFormat="1" ht="1.05" customHeight="1" spans="1:34">
      <c r="A83" s="80"/>
      <c r="B83" s="80"/>
      <c r="C83" s="784" t="s">
        <v>1172</v>
      </c>
      <c r="D83" s="795"/>
      <c r="E83" s="294"/>
      <c r="F83" s="326"/>
      <c r="G83" s="794"/>
      <c r="H83" s="598"/>
      <c r="I83" s="331"/>
      <c r="J83" s="775"/>
      <c r="K83" s="598"/>
      <c r="L83" s="577"/>
      <c r="M83" s="774"/>
      <c r="N83" s="801"/>
      <c r="O83" s="150"/>
      <c r="P83" s="150"/>
      <c r="AH83" s="42">
        <v>1</v>
      </c>
    </row>
    <row r="84" ht="19.95" customHeight="1" spans="1:34">
      <c r="A84" s="80"/>
      <c r="B84" s="80"/>
      <c r="D84" s="50"/>
      <c r="E84" s="294" t="s">
        <v>112</v>
      </c>
      <c r="F84" s="4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464"/>
      <c r="H84" s="464"/>
      <c r="I84" s="464"/>
      <c r="J84" s="464"/>
      <c r="K84" s="464"/>
      <c r="L84" s="464"/>
      <c r="M84" s="805"/>
      <c r="N84" s="801"/>
      <c r="AH84" s="42">
        <v>19</v>
      </c>
    </row>
    <row r="85" ht="35.7" customHeight="1" spans="1:34">
      <c r="A85" s="80"/>
      <c r="B85" s="80"/>
      <c r="D85" s="50"/>
      <c r="E85" s="804"/>
      <c r="F85" s="130" t="s">
        <v>311</v>
      </c>
      <c r="G85" s="130" t="s">
        <v>311</v>
      </c>
      <c r="H85" s="131" t="s">
        <v>311</v>
      </c>
      <c r="I85" s="132"/>
      <c r="J85" s="130" t="s">
        <v>311</v>
      </c>
      <c r="K85" s="130" t="s">
        <v>311</v>
      </c>
      <c r="L85" s="625"/>
      <c r="M85" s="82" t="s">
        <v>1173</v>
      </c>
      <c r="N85" s="801"/>
      <c r="AH85" s="42">
        <v>34</v>
      </c>
    </row>
    <row r="86" ht="19.95" customHeight="1" spans="1:34">
      <c r="A86" s="80"/>
      <c r="B86" s="80"/>
      <c r="D86" s="50"/>
      <c r="E86" s="294" t="s">
        <v>91</v>
      </c>
      <c r="F86" s="464" t="s">
        <v>1174</v>
      </c>
      <c r="G86" s="464"/>
      <c r="H86" s="464"/>
      <c r="I86" s="464"/>
      <c r="J86" s="464"/>
      <c r="K86" s="464"/>
      <c r="L86" s="464"/>
      <c r="M86" s="805"/>
      <c r="N86" s="801"/>
      <c r="AH86" s="42">
        <v>19</v>
      </c>
    </row>
    <row r="87" s="42" customFormat="1" ht="60.75" hidden="1" customHeight="1" spans="1:34">
      <c r="A87" s="80" t="s">
        <v>157</v>
      </c>
      <c r="B87" s="80" t="s">
        <v>158</v>
      </c>
      <c r="C87" s="784"/>
      <c r="D87" s="795"/>
      <c r="E87" s="294"/>
      <c r="F87" s="32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785" t="str">
        <f>INDEX(PT_DIFFERENTIATION_NTAR,MATCH(B87,PT_DIFFERENTIATION_NTAR_ID,0))</f>
        <v/>
      </c>
      <c r="H87" s="132"/>
      <c r="I87" s="798"/>
      <c r="J87" s="799"/>
      <c r="K87" s="262"/>
      <c r="L87" s="132" t="s">
        <v>311</v>
      </c>
      <c r="M87" s="5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801"/>
      <c r="O87" s="150"/>
      <c r="P87" s="150"/>
      <c r="AH87" s="42">
        <v>0</v>
      </c>
    </row>
    <row r="88" s="42" customFormat="1" ht="18.75" hidden="1" customHeight="1" spans="1:34">
      <c r="A88" s="80"/>
      <c r="B88" s="80"/>
      <c r="C88" s="784" t="s">
        <v>1168</v>
      </c>
      <c r="D88" s="795"/>
      <c r="E88" s="294"/>
      <c r="F88" s="326"/>
      <c r="G88" s="785"/>
      <c r="H88" s="598"/>
      <c r="I88" s="331" t="s">
        <v>1167</v>
      </c>
      <c r="J88" s="775"/>
      <c r="K88" s="598"/>
      <c r="L88" s="577"/>
      <c r="M88" s="774"/>
      <c r="N88" s="801"/>
      <c r="O88" s="150"/>
      <c r="P88" s="150"/>
      <c r="AH88" s="42">
        <v>0</v>
      </c>
    </row>
    <row r="89" s="42" customFormat="1" ht="0.75" hidden="1" customHeight="1" spans="1:34">
      <c r="A89" s="80"/>
      <c r="B89" s="80"/>
      <c r="C89" s="784" t="s">
        <v>1175</v>
      </c>
      <c r="D89" s="795"/>
      <c r="E89" s="294"/>
      <c r="F89" s="326"/>
      <c r="G89" s="794"/>
      <c r="H89" s="598"/>
      <c r="I89" s="331"/>
      <c r="J89" s="775"/>
      <c r="K89" s="598"/>
      <c r="L89" s="577"/>
      <c r="M89" s="774"/>
      <c r="N89" s="801"/>
      <c r="O89" s="150"/>
      <c r="P89" s="150"/>
      <c r="AH89" s="42">
        <v>0</v>
      </c>
    </row>
    <row r="90" s="42" customFormat="1" ht="45" hidden="1" customHeight="1" spans="1:34">
      <c r="A90" s="80" t="s">
        <v>162</v>
      </c>
      <c r="B90" s="80" t="s">
        <v>163</v>
      </c>
      <c r="C90" s="784"/>
      <c r="D90" s="795"/>
      <c r="E90" s="294"/>
      <c r="F90" s="326" t="str">
        <f>INDEX(PT_DIFFERENTIATION_VTAR,MATCH(A90,PT_DIFFERENTIATION_VTAR_ID,0))</f>
        <v/>
      </c>
      <c r="G90" s="785" t="str">
        <f>INDEX(PT_DIFFERENTIATION_NTAR,MATCH(B90,PT_DIFFERENTIATION_NTAR_ID,0))</f>
        <v/>
      </c>
      <c r="H90" s="132"/>
      <c r="I90" s="798"/>
      <c r="J90" s="799"/>
      <c r="K90" s="262"/>
      <c r="L90" s="132" t="s">
        <v>311</v>
      </c>
      <c r="M90" s="581"/>
      <c r="N90" s="801"/>
      <c r="O90" s="150"/>
      <c r="P90" s="150"/>
      <c r="AH90" s="42">
        <v>0</v>
      </c>
    </row>
    <row r="91" s="42" customFormat="1" ht="18.75" hidden="1" customHeight="1" spans="1:34">
      <c r="A91" s="80"/>
      <c r="B91" s="80"/>
      <c r="C91" s="784" t="s">
        <v>1168</v>
      </c>
      <c r="D91" s="795"/>
      <c r="E91" s="294"/>
      <c r="F91" s="326"/>
      <c r="G91" s="785"/>
      <c r="H91" s="598"/>
      <c r="I91" s="331" t="s">
        <v>1167</v>
      </c>
      <c r="J91" s="775"/>
      <c r="K91" s="598"/>
      <c r="L91" s="577"/>
      <c r="M91" s="774"/>
      <c r="N91" s="801"/>
      <c r="O91" s="150"/>
      <c r="P91" s="150"/>
      <c r="AH91" s="42">
        <v>0</v>
      </c>
    </row>
    <row r="92" s="42" customFormat="1" ht="0.75" hidden="1" customHeight="1" spans="1:34">
      <c r="A92" s="80"/>
      <c r="B92" s="80"/>
      <c r="C92" s="784" t="s">
        <v>1175</v>
      </c>
      <c r="D92" s="795"/>
      <c r="E92" s="294"/>
      <c r="F92" s="326"/>
      <c r="G92" s="794"/>
      <c r="H92" s="598"/>
      <c r="I92" s="331"/>
      <c r="J92" s="775"/>
      <c r="K92" s="598"/>
      <c r="L92" s="577"/>
      <c r="M92" s="806"/>
      <c r="N92" s="801"/>
      <c r="O92" s="150"/>
      <c r="P92" s="150"/>
      <c r="AH92" s="42">
        <v>0</v>
      </c>
    </row>
    <row r="93" s="42" customFormat="1" ht="45" hidden="1" customHeight="1" spans="1:34">
      <c r="A93" s="80" t="s">
        <v>169</v>
      </c>
      <c r="B93" s="80" t="s">
        <v>170</v>
      </c>
      <c r="C93" s="784"/>
      <c r="D93" s="795"/>
      <c r="E93" s="294"/>
      <c r="F93" s="32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785" t="str">
        <f>INDEX(PT_DIFFERENTIATION_NTAR,MATCH(B93,PT_DIFFERENTIATION_NTAR_ID,0))</f>
        <v/>
      </c>
      <c r="H93" s="132"/>
      <c r="I93" s="798"/>
      <c r="J93" s="799"/>
      <c r="K93" s="262"/>
      <c r="L93" s="132" t="s">
        <v>311</v>
      </c>
      <c r="M93" s="806"/>
      <c r="N93" s="801"/>
      <c r="O93" s="150"/>
      <c r="P93" s="150"/>
      <c r="AH93" s="42">
        <v>0</v>
      </c>
    </row>
    <row r="94" s="42" customFormat="1" ht="18.75" hidden="1" customHeight="1" spans="1:34">
      <c r="A94" s="80"/>
      <c r="B94" s="80"/>
      <c r="C94" s="784" t="s">
        <v>1168</v>
      </c>
      <c r="D94" s="795"/>
      <c r="E94" s="294"/>
      <c r="F94" s="326"/>
      <c r="G94" s="785"/>
      <c r="H94" s="598"/>
      <c r="I94" s="331" t="s">
        <v>1167</v>
      </c>
      <c r="J94" s="775"/>
      <c r="K94" s="598"/>
      <c r="L94" s="577"/>
      <c r="M94" s="806"/>
      <c r="N94" s="801"/>
      <c r="O94" s="150"/>
      <c r="P94" s="150"/>
      <c r="AH94" s="42">
        <v>0</v>
      </c>
    </row>
    <row r="95" s="42" customFormat="1" ht="0.75" hidden="1" customHeight="1" spans="1:34">
      <c r="A95" s="80"/>
      <c r="B95" s="80"/>
      <c r="C95" s="784" t="s">
        <v>1175</v>
      </c>
      <c r="D95" s="795"/>
      <c r="E95" s="294"/>
      <c r="F95" s="326"/>
      <c r="G95" s="794"/>
      <c r="H95" s="598"/>
      <c r="I95" s="331"/>
      <c r="J95" s="775"/>
      <c r="K95" s="598"/>
      <c r="L95" s="577"/>
      <c r="M95" s="806"/>
      <c r="N95" s="801"/>
      <c r="O95" s="150"/>
      <c r="P95" s="150"/>
      <c r="AH95" s="42">
        <v>0</v>
      </c>
    </row>
    <row r="96" s="42" customFormat="1" ht="45" hidden="1" customHeight="1" spans="1:34">
      <c r="A96" s="80" t="s">
        <v>175</v>
      </c>
      <c r="B96" s="80" t="s">
        <v>176</v>
      </c>
      <c r="C96" s="784"/>
      <c r="D96" s="795"/>
      <c r="E96" s="294"/>
      <c r="F96" s="32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785" t="str">
        <f>INDEX(PT_DIFFERENTIATION_NTAR,MATCH(B96,PT_DIFFERENTIATION_NTAR_ID,0))</f>
        <v/>
      </c>
      <c r="H96" s="132"/>
      <c r="I96" s="798"/>
      <c r="J96" s="799"/>
      <c r="K96" s="262"/>
      <c r="L96" s="132" t="s">
        <v>311</v>
      </c>
      <c r="M96" s="806"/>
      <c r="N96" s="801"/>
      <c r="O96" s="150"/>
      <c r="P96" s="150"/>
      <c r="AH96" s="42">
        <v>0</v>
      </c>
    </row>
    <row r="97" s="42" customFormat="1" ht="18.75" hidden="1" customHeight="1" spans="1:34">
      <c r="A97" s="80"/>
      <c r="B97" s="80"/>
      <c r="C97" s="784" t="s">
        <v>1168</v>
      </c>
      <c r="D97" s="795"/>
      <c r="E97" s="294"/>
      <c r="F97" s="326"/>
      <c r="G97" s="785"/>
      <c r="H97" s="598"/>
      <c r="I97" s="331" t="s">
        <v>1167</v>
      </c>
      <c r="J97" s="775"/>
      <c r="K97" s="598"/>
      <c r="L97" s="577"/>
      <c r="M97" s="806"/>
      <c r="N97" s="801"/>
      <c r="O97" s="150"/>
      <c r="P97" s="150"/>
      <c r="AH97" s="42">
        <v>0</v>
      </c>
    </row>
    <row r="98" s="42" customFormat="1" ht="0.75" hidden="1" customHeight="1" spans="1:34">
      <c r="A98" s="80"/>
      <c r="B98" s="80"/>
      <c r="C98" s="784" t="s">
        <v>1175</v>
      </c>
      <c r="D98" s="795"/>
      <c r="E98" s="294"/>
      <c r="F98" s="326"/>
      <c r="G98" s="794"/>
      <c r="H98" s="598"/>
      <c r="I98" s="331"/>
      <c r="J98" s="775"/>
      <c r="K98" s="598"/>
      <c r="L98" s="577"/>
      <c r="M98" s="806"/>
      <c r="N98" s="801"/>
      <c r="O98" s="150"/>
      <c r="P98" s="150"/>
      <c r="AH98" s="42">
        <v>0</v>
      </c>
    </row>
    <row r="99" s="42" customFormat="1" ht="18.75" hidden="1" customHeight="1" spans="1:34">
      <c r="A99" s="80" t="s">
        <v>181</v>
      </c>
      <c r="B99" s="80" t="s">
        <v>182</v>
      </c>
      <c r="C99" s="784"/>
      <c r="D99" s="795"/>
      <c r="E99" s="294"/>
      <c r="F99" s="326" t="str">
        <f>INDEX(PT_DIFFERENTIATION_VTAR,MATCH(A99,PT_DIFFERENTIATION_VTAR_ID,0))</f>
        <v>Тарифы на услуги по передаче тепловой энергии</v>
      </c>
      <c r="G99" s="785" t="str">
        <f>INDEX(PT_DIFFERENTIATION_NTAR,MATCH(B99,PT_DIFFERENTIATION_NTAR_ID,0))</f>
        <v/>
      </c>
      <c r="H99" s="132"/>
      <c r="I99" s="798"/>
      <c r="J99" s="799"/>
      <c r="K99" s="262"/>
      <c r="L99" s="132" t="s">
        <v>311</v>
      </c>
      <c r="M99" s="806"/>
      <c r="N99" s="801"/>
      <c r="O99" s="150"/>
      <c r="P99" s="150"/>
      <c r="AH99" s="42">
        <v>0</v>
      </c>
    </row>
    <row r="100" s="42" customFormat="1" ht="18.75" hidden="1" customHeight="1" spans="1:34">
      <c r="A100" s="80"/>
      <c r="B100" s="80"/>
      <c r="C100" s="784" t="s">
        <v>1168</v>
      </c>
      <c r="D100" s="795"/>
      <c r="E100" s="294"/>
      <c r="F100" s="326"/>
      <c r="G100" s="785"/>
      <c r="H100" s="598"/>
      <c r="I100" s="331" t="s">
        <v>1167</v>
      </c>
      <c r="J100" s="775"/>
      <c r="K100" s="598"/>
      <c r="L100" s="577"/>
      <c r="M100" s="806"/>
      <c r="N100" s="801"/>
      <c r="O100" s="150"/>
      <c r="P100" s="150"/>
      <c r="AH100" s="42">
        <v>0</v>
      </c>
    </row>
    <row r="101" s="42" customFormat="1" ht="0.75" hidden="1" customHeight="1" spans="1:34">
      <c r="A101" s="80"/>
      <c r="B101" s="80"/>
      <c r="C101" s="784" t="s">
        <v>1175</v>
      </c>
      <c r="D101" s="795"/>
      <c r="E101" s="294"/>
      <c r="F101" s="326"/>
      <c r="G101" s="794"/>
      <c r="H101" s="598"/>
      <c r="I101" s="331"/>
      <c r="J101" s="775"/>
      <c r="K101" s="598"/>
      <c r="L101" s="577"/>
      <c r="M101" s="806"/>
      <c r="N101" s="801"/>
      <c r="O101" s="150"/>
      <c r="P101" s="150"/>
      <c r="AH101" s="42">
        <v>0</v>
      </c>
    </row>
    <row r="102" s="42" customFormat="1" ht="18.75" hidden="1" customHeight="1" spans="1:34">
      <c r="A102" s="80" t="s">
        <v>187</v>
      </c>
      <c r="B102" s="80" t="s">
        <v>188</v>
      </c>
      <c r="C102" s="784"/>
      <c r="D102" s="795"/>
      <c r="E102" s="294"/>
      <c r="F102" s="326" t="str">
        <f>INDEX(PT_DIFFERENTIATION_VTAR,MATCH(A102,PT_DIFFERENTIATION_VTAR_ID,0))</f>
        <v>Тарифы на услуги по передаче теплоносителя</v>
      </c>
      <c r="G102" s="785" t="str">
        <f>INDEX(PT_DIFFERENTIATION_NTAR,MATCH(B102,PT_DIFFERENTIATION_NTAR_ID,0))</f>
        <v/>
      </c>
      <c r="H102" s="132"/>
      <c r="I102" s="798"/>
      <c r="J102" s="799"/>
      <c r="K102" s="262"/>
      <c r="L102" s="132" t="s">
        <v>311</v>
      </c>
      <c r="M102" s="806"/>
      <c r="N102" s="801"/>
      <c r="O102" s="150"/>
      <c r="P102" s="150"/>
      <c r="AH102" s="42">
        <v>0</v>
      </c>
    </row>
    <row r="103" s="42" customFormat="1" ht="18.75" hidden="1" customHeight="1" spans="1:34">
      <c r="A103" s="80"/>
      <c r="B103" s="80"/>
      <c r="C103" s="784" t="s">
        <v>1168</v>
      </c>
      <c r="D103" s="795"/>
      <c r="E103" s="294"/>
      <c r="F103" s="326"/>
      <c r="G103" s="785"/>
      <c r="H103" s="598"/>
      <c r="I103" s="331" t="s">
        <v>1167</v>
      </c>
      <c r="J103" s="775"/>
      <c r="K103" s="598"/>
      <c r="L103" s="577"/>
      <c r="M103" s="806"/>
      <c r="N103" s="801"/>
      <c r="O103" s="150"/>
      <c r="P103" s="150"/>
      <c r="AH103" s="42">
        <v>0</v>
      </c>
    </row>
    <row r="104" s="42" customFormat="1" ht="0.75" hidden="1" customHeight="1" spans="1:34">
      <c r="A104" s="80"/>
      <c r="B104" s="80"/>
      <c r="C104" s="784" t="s">
        <v>1175</v>
      </c>
      <c r="D104" s="795"/>
      <c r="E104" s="294"/>
      <c r="F104" s="326"/>
      <c r="G104" s="794"/>
      <c r="H104" s="598"/>
      <c r="I104" s="331"/>
      <c r="J104" s="775"/>
      <c r="K104" s="598"/>
      <c r="L104" s="577"/>
      <c r="M104" s="806"/>
      <c r="N104" s="801"/>
      <c r="O104" s="150"/>
      <c r="P104" s="150"/>
      <c r="AH104" s="42">
        <v>0</v>
      </c>
    </row>
    <row r="105" s="42" customFormat="1" ht="18.75" hidden="1" customHeight="1" spans="1:34">
      <c r="A105" s="80" t="s">
        <v>193</v>
      </c>
      <c r="B105" s="80" t="s">
        <v>194</v>
      </c>
      <c r="C105" s="784"/>
      <c r="D105" s="795"/>
      <c r="E105" s="294"/>
      <c r="F105" s="32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785" t="str">
        <f>INDEX(PT_DIFFERENTIATION_NTAR,MATCH(B105,PT_DIFFERENTIATION_NTAR_ID,0))</f>
        <v/>
      </c>
      <c r="H105" s="132"/>
      <c r="I105" s="798"/>
      <c r="J105" s="799"/>
      <c r="K105" s="262"/>
      <c r="L105" s="132" t="s">
        <v>311</v>
      </c>
      <c r="M105" s="806"/>
      <c r="N105" s="801"/>
      <c r="O105" s="150"/>
      <c r="P105" s="150"/>
      <c r="AH105" s="42">
        <v>0</v>
      </c>
    </row>
    <row r="106" s="42" customFormat="1" ht="18.75" hidden="1" customHeight="1" spans="1:34">
      <c r="A106" s="80"/>
      <c r="B106" s="80"/>
      <c r="C106" s="784" t="s">
        <v>1168</v>
      </c>
      <c r="D106" s="795"/>
      <c r="E106" s="294"/>
      <c r="F106" s="326"/>
      <c r="G106" s="785"/>
      <c r="H106" s="598"/>
      <c r="I106" s="331" t="s">
        <v>1167</v>
      </c>
      <c r="J106" s="775"/>
      <c r="K106" s="598"/>
      <c r="L106" s="577"/>
      <c r="M106" s="806"/>
      <c r="N106" s="801"/>
      <c r="O106" s="150"/>
      <c r="P106" s="150"/>
      <c r="AH106" s="42">
        <v>0</v>
      </c>
    </row>
    <row r="107" s="42" customFormat="1" ht="0.75" hidden="1" customHeight="1" spans="1:34">
      <c r="A107" s="80"/>
      <c r="B107" s="80"/>
      <c r="C107" s="784" t="s">
        <v>1175</v>
      </c>
      <c r="D107" s="795"/>
      <c r="E107" s="294"/>
      <c r="F107" s="326"/>
      <c r="G107" s="794"/>
      <c r="H107" s="598"/>
      <c r="I107" s="331"/>
      <c r="J107" s="775"/>
      <c r="K107" s="598"/>
      <c r="L107" s="577"/>
      <c r="M107" s="806"/>
      <c r="N107" s="801"/>
      <c r="O107" s="150"/>
      <c r="P107" s="150"/>
      <c r="AH107" s="42">
        <v>0</v>
      </c>
    </row>
    <row r="108" s="42" customFormat="1" ht="18.75" hidden="1" customHeight="1" spans="1:34">
      <c r="A108" s="80" t="s">
        <v>199</v>
      </c>
      <c r="B108" s="80" t="s">
        <v>200</v>
      </c>
      <c r="C108" s="784"/>
      <c r="D108" s="795"/>
      <c r="E108" s="294"/>
      <c r="F108" s="326" t="str">
        <f>INDEX(PT_DIFFERENTIATION_VTAR,MATCH(A108,PT_DIFFERENTIATION_VTAR_ID,0))</f>
        <v>Плата за подключение (технологическое присоединение) к системе теплоснабжения</v>
      </c>
      <c r="G108" s="785" t="str">
        <f>INDEX(PT_DIFFERENTIATION_NTAR,MATCH(B108,PT_DIFFERENTIATION_NTAR_ID,0))</f>
        <v/>
      </c>
      <c r="H108" s="132"/>
      <c r="I108" s="798"/>
      <c r="J108" s="799"/>
      <c r="K108" s="262"/>
      <c r="L108" s="132" t="s">
        <v>311</v>
      </c>
      <c r="M108" s="806"/>
      <c r="N108" s="801"/>
      <c r="O108" s="150"/>
      <c r="P108" s="150"/>
      <c r="AH108" s="42">
        <v>0</v>
      </c>
    </row>
    <row r="109" s="42" customFormat="1" ht="18.75" hidden="1" customHeight="1" spans="1:34">
      <c r="A109" s="80"/>
      <c r="B109" s="80"/>
      <c r="C109" s="784" t="s">
        <v>1168</v>
      </c>
      <c r="D109" s="795"/>
      <c r="E109" s="294"/>
      <c r="F109" s="326"/>
      <c r="G109" s="785"/>
      <c r="H109" s="598"/>
      <c r="I109" s="331" t="s">
        <v>1167</v>
      </c>
      <c r="J109" s="775"/>
      <c r="K109" s="598"/>
      <c r="L109" s="577"/>
      <c r="M109" s="806"/>
      <c r="N109" s="801"/>
      <c r="O109" s="150"/>
      <c r="P109" s="150"/>
      <c r="AH109" s="42">
        <v>0</v>
      </c>
    </row>
    <row r="110" s="42" customFormat="1" ht="0.75" hidden="1" customHeight="1" spans="1:34">
      <c r="A110" s="80"/>
      <c r="B110" s="80"/>
      <c r="C110" s="784" t="s">
        <v>1175</v>
      </c>
      <c r="D110" s="795"/>
      <c r="E110" s="294"/>
      <c r="F110" s="326"/>
      <c r="G110" s="794"/>
      <c r="H110" s="598"/>
      <c r="I110" s="331"/>
      <c r="J110" s="775"/>
      <c r="K110" s="598"/>
      <c r="L110" s="577"/>
      <c r="M110" s="806"/>
      <c r="N110" s="801"/>
      <c r="O110" s="150"/>
      <c r="P110" s="150"/>
      <c r="AH110" s="42">
        <v>0</v>
      </c>
    </row>
    <row r="111" s="42" customFormat="1" ht="18.75" hidden="1" customHeight="1" spans="1:34">
      <c r="A111" s="80" t="s">
        <v>205</v>
      </c>
      <c r="B111" s="80" t="s">
        <v>206</v>
      </c>
      <c r="C111" s="784"/>
      <c r="D111" s="795"/>
      <c r="E111" s="294"/>
      <c r="F111" s="326" t="str">
        <f>INDEX(PT_DIFFERENTIATION_VTAR,MATCH(A111,PT_DIFFERENTIATION_VTAR_ID,0))</f>
        <v>Плата за подключение (технологическое присоединение) к системе теплоснабжения (индивидуальная)</v>
      </c>
      <c r="G111" s="785" t="str">
        <f>INDEX(PT_DIFFERENTIATION_NTAR,MATCH(B111,PT_DIFFERENTIATION_NTAR_ID,0))</f>
        <v/>
      </c>
      <c r="H111" s="132"/>
      <c r="I111" s="798"/>
      <c r="J111" s="799"/>
      <c r="K111" s="262"/>
      <c r="L111" s="132" t="s">
        <v>311</v>
      </c>
      <c r="M111" s="806"/>
      <c r="N111" s="801"/>
      <c r="O111" s="150"/>
      <c r="P111" s="150"/>
      <c r="AH111" s="42">
        <v>0</v>
      </c>
    </row>
    <row r="112" s="42" customFormat="1" ht="18.75" hidden="1" customHeight="1" spans="1:34">
      <c r="A112" s="80"/>
      <c r="B112" s="80"/>
      <c r="C112" s="784" t="s">
        <v>1168</v>
      </c>
      <c r="D112" s="795"/>
      <c r="E112" s="294"/>
      <c r="F112" s="326"/>
      <c r="G112" s="785"/>
      <c r="H112" s="598"/>
      <c r="I112" s="331" t="s">
        <v>1167</v>
      </c>
      <c r="J112" s="775"/>
      <c r="K112" s="598"/>
      <c r="L112" s="577"/>
      <c r="M112" s="806"/>
      <c r="N112" s="801"/>
      <c r="O112" s="150"/>
      <c r="P112" s="150"/>
      <c r="AH112" s="42">
        <v>0</v>
      </c>
    </row>
    <row r="113" s="42" customFormat="1" ht="0.75" hidden="1" customHeight="1" spans="1:34">
      <c r="A113" s="80"/>
      <c r="B113" s="80"/>
      <c r="C113" s="784" t="s">
        <v>1175</v>
      </c>
      <c r="D113" s="795"/>
      <c r="E113" s="294"/>
      <c r="F113" s="326"/>
      <c r="G113" s="794"/>
      <c r="H113" s="598"/>
      <c r="I113" s="331"/>
      <c r="J113" s="775"/>
      <c r="K113" s="598"/>
      <c r="L113" s="577"/>
      <c r="M113" s="806"/>
      <c r="N113" s="801"/>
      <c r="O113" s="150"/>
      <c r="P113" s="150"/>
      <c r="AH113" s="42">
        <v>0</v>
      </c>
    </row>
    <row r="114" s="42" customFormat="1" ht="18.75" hidden="1" customHeight="1" spans="1:34">
      <c r="A114" s="80" t="s">
        <v>225</v>
      </c>
      <c r="B114" s="80" t="s">
        <v>226</v>
      </c>
      <c r="C114" s="784"/>
      <c r="D114" s="795"/>
      <c r="E114" s="294"/>
      <c r="F114" s="326" t="str">
        <f>INDEX(PT_DIFFERENTIATION_VTAR,MATCH(A114,PT_DIFFERENTIATION_VTAR_ID,0))</f>
        <v>Тариф на питьевую воду (питьевое водоснабжение)</v>
      </c>
      <c r="G114" s="785" t="str">
        <f>INDEX(PT_DIFFERENTIATION_NTAR,MATCH(B114,PT_DIFFERENTIATION_NTAR_ID,0))</f>
        <v/>
      </c>
      <c r="H114" s="132"/>
      <c r="I114" s="798"/>
      <c r="J114" s="799"/>
      <c r="K114" s="262"/>
      <c r="L114" s="132" t="s">
        <v>311</v>
      </c>
      <c r="M114" s="806"/>
      <c r="N114" s="801"/>
      <c r="O114" s="150"/>
      <c r="P114" s="150"/>
      <c r="AH114" s="42">
        <v>0</v>
      </c>
    </row>
    <row r="115" s="42" customFormat="1" ht="18.75" hidden="1" customHeight="1" spans="1:34">
      <c r="A115" s="80"/>
      <c r="B115" s="80"/>
      <c r="C115" s="784" t="s">
        <v>1168</v>
      </c>
      <c r="D115" s="795"/>
      <c r="E115" s="294"/>
      <c r="F115" s="326"/>
      <c r="G115" s="785"/>
      <c r="H115" s="598"/>
      <c r="I115" s="331" t="s">
        <v>1167</v>
      </c>
      <c r="J115" s="775"/>
      <c r="K115" s="598"/>
      <c r="L115" s="577"/>
      <c r="M115" s="806"/>
      <c r="N115" s="801"/>
      <c r="O115" s="150"/>
      <c r="P115" s="150"/>
      <c r="AH115" s="42">
        <v>0</v>
      </c>
    </row>
    <row r="116" s="42" customFormat="1" ht="0.75" hidden="1" customHeight="1" spans="1:34">
      <c r="A116" s="80"/>
      <c r="B116" s="80"/>
      <c r="C116" s="784" t="s">
        <v>1175</v>
      </c>
      <c r="D116" s="795"/>
      <c r="E116" s="294"/>
      <c r="F116" s="326"/>
      <c r="G116" s="794"/>
      <c r="H116" s="598"/>
      <c r="I116" s="331"/>
      <c r="J116" s="775"/>
      <c r="K116" s="598"/>
      <c r="L116" s="577"/>
      <c r="M116" s="806"/>
      <c r="N116" s="801"/>
      <c r="O116" s="150"/>
      <c r="P116" s="150"/>
      <c r="AH116" s="42">
        <v>0</v>
      </c>
    </row>
    <row r="117" s="42" customFormat="1" ht="18.75" hidden="1" customHeight="1" spans="1:34">
      <c r="A117" s="80" t="s">
        <v>230</v>
      </c>
      <c r="B117" s="80" t="s">
        <v>231</v>
      </c>
      <c r="C117" s="784"/>
      <c r="D117" s="795"/>
      <c r="E117" s="294"/>
      <c r="F117" s="326" t="str">
        <f>INDEX(PT_DIFFERENTIATION_VTAR,MATCH(A117,PT_DIFFERENTIATION_VTAR_ID,0))</f>
        <v>Тариф на техническую воду</v>
      </c>
      <c r="G117" s="785" t="str">
        <f>INDEX(PT_DIFFERENTIATION_NTAR,MATCH(B117,PT_DIFFERENTIATION_NTAR_ID,0))</f>
        <v/>
      </c>
      <c r="H117" s="132"/>
      <c r="I117" s="798"/>
      <c r="J117" s="799"/>
      <c r="K117" s="262"/>
      <c r="L117" s="132" t="s">
        <v>311</v>
      </c>
      <c r="M117" s="806"/>
      <c r="N117" s="801"/>
      <c r="O117" s="150"/>
      <c r="P117" s="150"/>
      <c r="AH117" s="42">
        <v>0</v>
      </c>
    </row>
    <row r="118" s="42" customFormat="1" ht="18.75" hidden="1" customHeight="1" spans="1:34">
      <c r="A118" s="80"/>
      <c r="B118" s="80"/>
      <c r="C118" s="784" t="s">
        <v>1168</v>
      </c>
      <c r="D118" s="795"/>
      <c r="E118" s="294"/>
      <c r="F118" s="326"/>
      <c r="G118" s="785"/>
      <c r="H118" s="598"/>
      <c r="I118" s="331" t="s">
        <v>1167</v>
      </c>
      <c r="J118" s="775"/>
      <c r="K118" s="598"/>
      <c r="L118" s="577"/>
      <c r="M118" s="806"/>
      <c r="N118" s="801"/>
      <c r="O118" s="150"/>
      <c r="P118" s="150"/>
      <c r="AH118" s="42">
        <v>0</v>
      </c>
    </row>
    <row r="119" s="42" customFormat="1" ht="0.75" hidden="1" customHeight="1" spans="1:34">
      <c r="A119" s="80"/>
      <c r="B119" s="80"/>
      <c r="C119" s="784" t="s">
        <v>1175</v>
      </c>
      <c r="D119" s="795"/>
      <c r="E119" s="294"/>
      <c r="F119" s="326"/>
      <c r="G119" s="794"/>
      <c r="H119" s="598"/>
      <c r="I119" s="331"/>
      <c r="J119" s="775"/>
      <c r="K119" s="598"/>
      <c r="L119" s="577"/>
      <c r="M119" s="806"/>
      <c r="N119" s="801"/>
      <c r="O119" s="150"/>
      <c r="P119" s="150"/>
      <c r="AH119" s="42">
        <v>0</v>
      </c>
    </row>
    <row r="120" s="42" customFormat="1" ht="18.75" hidden="1" customHeight="1" spans="1:34">
      <c r="A120" s="80" t="s">
        <v>235</v>
      </c>
      <c r="B120" s="80" t="s">
        <v>236</v>
      </c>
      <c r="C120" s="784"/>
      <c r="D120" s="795"/>
      <c r="E120" s="294"/>
      <c r="F120" s="326" t="str">
        <f>INDEX(PT_DIFFERENTIATION_VTAR,MATCH(A120,PT_DIFFERENTIATION_VTAR_ID,0))</f>
        <v>Тариф на транспортировку воды</v>
      </c>
      <c r="G120" s="785" t="str">
        <f>INDEX(PT_DIFFERENTIATION_NTAR,MATCH(B120,PT_DIFFERENTIATION_NTAR_ID,0))</f>
        <v/>
      </c>
      <c r="H120" s="132"/>
      <c r="I120" s="798"/>
      <c r="J120" s="799"/>
      <c r="K120" s="262"/>
      <c r="L120" s="132" t="s">
        <v>311</v>
      </c>
      <c r="M120" s="806"/>
      <c r="N120" s="801"/>
      <c r="O120" s="150"/>
      <c r="P120" s="150"/>
      <c r="AH120" s="42">
        <v>0</v>
      </c>
    </row>
    <row r="121" s="42" customFormat="1" ht="18.75" hidden="1" customHeight="1" spans="1:34">
      <c r="A121" s="80"/>
      <c r="B121" s="80"/>
      <c r="C121" s="784" t="s">
        <v>1168</v>
      </c>
      <c r="D121" s="795"/>
      <c r="E121" s="294"/>
      <c r="F121" s="326"/>
      <c r="G121" s="785"/>
      <c r="H121" s="598"/>
      <c r="I121" s="331" t="s">
        <v>1167</v>
      </c>
      <c r="J121" s="775"/>
      <c r="K121" s="598"/>
      <c r="L121" s="577"/>
      <c r="M121" s="806"/>
      <c r="N121" s="801"/>
      <c r="O121" s="150"/>
      <c r="P121" s="150"/>
      <c r="AH121" s="42">
        <v>0</v>
      </c>
    </row>
    <row r="122" s="42" customFormat="1" ht="0.75" hidden="1" customHeight="1" spans="1:34">
      <c r="A122" s="80"/>
      <c r="B122" s="80"/>
      <c r="C122" s="784" t="s">
        <v>1175</v>
      </c>
      <c r="D122" s="795"/>
      <c r="E122" s="294"/>
      <c r="F122" s="326"/>
      <c r="G122" s="794"/>
      <c r="H122" s="598"/>
      <c r="I122" s="331"/>
      <c r="J122" s="775"/>
      <c r="K122" s="598"/>
      <c r="L122" s="577"/>
      <c r="M122" s="806"/>
      <c r="N122" s="801"/>
      <c r="O122" s="150"/>
      <c r="P122" s="150"/>
      <c r="AH122" s="42">
        <v>0</v>
      </c>
    </row>
    <row r="123" s="42" customFormat="1" ht="18.75" hidden="1" customHeight="1" spans="1:34">
      <c r="A123" s="80" t="s">
        <v>240</v>
      </c>
      <c r="B123" s="80" t="s">
        <v>241</v>
      </c>
      <c r="C123" s="784"/>
      <c r="D123" s="795"/>
      <c r="E123" s="294"/>
      <c r="F123" s="326" t="str">
        <f>INDEX(PT_DIFFERENTIATION_VTAR,MATCH(A123,PT_DIFFERENTIATION_VTAR_ID,0))</f>
        <v>Тариф на подвоз воды</v>
      </c>
      <c r="G123" s="785" t="str">
        <f>INDEX(PT_DIFFERENTIATION_NTAR,MATCH(B123,PT_DIFFERENTIATION_NTAR_ID,0))</f>
        <v/>
      </c>
      <c r="H123" s="132"/>
      <c r="I123" s="798"/>
      <c r="J123" s="799"/>
      <c r="K123" s="262"/>
      <c r="L123" s="132" t="s">
        <v>311</v>
      </c>
      <c r="M123" s="806"/>
      <c r="N123" s="801"/>
      <c r="O123" s="150"/>
      <c r="P123" s="150"/>
      <c r="AH123" s="42">
        <v>0</v>
      </c>
    </row>
    <row r="124" s="42" customFormat="1" ht="18.75" hidden="1" customHeight="1" spans="1:34">
      <c r="A124" s="80"/>
      <c r="B124" s="80"/>
      <c r="C124" s="784" t="s">
        <v>1168</v>
      </c>
      <c r="D124" s="795"/>
      <c r="E124" s="294"/>
      <c r="F124" s="326"/>
      <c r="G124" s="785"/>
      <c r="H124" s="598"/>
      <c r="I124" s="331" t="s">
        <v>1167</v>
      </c>
      <c r="J124" s="775"/>
      <c r="K124" s="598"/>
      <c r="L124" s="577"/>
      <c r="M124" s="806"/>
      <c r="N124" s="801"/>
      <c r="O124" s="150"/>
      <c r="P124" s="150"/>
      <c r="AH124" s="42">
        <v>0</v>
      </c>
    </row>
    <row r="125" s="42" customFormat="1" ht="0.75" hidden="1" customHeight="1" spans="1:34">
      <c r="A125" s="80"/>
      <c r="B125" s="80"/>
      <c r="C125" s="784" t="s">
        <v>1175</v>
      </c>
      <c r="D125" s="795"/>
      <c r="E125" s="294"/>
      <c r="F125" s="326"/>
      <c r="G125" s="794"/>
      <c r="H125" s="598"/>
      <c r="I125" s="331"/>
      <c r="J125" s="775"/>
      <c r="K125" s="598"/>
      <c r="L125" s="577"/>
      <c r="M125" s="806"/>
      <c r="N125" s="801"/>
      <c r="O125" s="150"/>
      <c r="P125" s="150"/>
      <c r="AH125" s="42">
        <v>0</v>
      </c>
    </row>
    <row r="126" s="42" customFormat="1" ht="18.75" hidden="1" customHeight="1" spans="1:34">
      <c r="A126" s="80" t="s">
        <v>247</v>
      </c>
      <c r="B126" s="80" t="s">
        <v>248</v>
      </c>
      <c r="C126" s="784"/>
      <c r="D126" s="795"/>
      <c r="E126" s="294"/>
      <c r="F126" s="32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785" t="str">
        <f>INDEX(PT_DIFFERENTIATION_NTAR,MATCH(B126,PT_DIFFERENTIATION_NTAR_ID,0))</f>
        <v>Подключение (технологическое присоединение) к централизованной системе водоснабжения
</v>
      </c>
      <c r="H126" s="132"/>
      <c r="I126" s="798"/>
      <c r="J126" s="799"/>
      <c r="K126" s="262"/>
      <c r="L126" s="132" t="s">
        <v>311</v>
      </c>
      <c r="M126" s="806"/>
      <c r="N126" s="801"/>
      <c r="O126" s="150"/>
      <c r="P126" s="150"/>
      <c r="AH126" s="42">
        <v>0</v>
      </c>
    </row>
    <row r="127" s="42" customFormat="1" ht="18.75" hidden="1" customHeight="1" spans="1:34">
      <c r="A127" s="80"/>
      <c r="B127" s="80"/>
      <c r="C127" s="784" t="s">
        <v>1168</v>
      </c>
      <c r="D127" s="795"/>
      <c r="E127" s="294"/>
      <c r="F127" s="326"/>
      <c r="G127" s="785"/>
      <c r="H127" s="598"/>
      <c r="I127" s="331" t="s">
        <v>1167</v>
      </c>
      <c r="J127" s="775"/>
      <c r="K127" s="598"/>
      <c r="L127" s="577"/>
      <c r="M127" s="806"/>
      <c r="N127" s="801"/>
      <c r="O127" s="150"/>
      <c r="P127" s="150"/>
      <c r="AH127" s="42">
        <v>0</v>
      </c>
    </row>
    <row r="128" s="42" customFormat="1" ht="0.75" hidden="1" customHeight="1" spans="1:34">
      <c r="A128" s="80"/>
      <c r="B128" s="80"/>
      <c r="C128" s="784" t="s">
        <v>1175</v>
      </c>
      <c r="D128" s="795"/>
      <c r="E128" s="294"/>
      <c r="F128" s="326"/>
      <c r="G128" s="794"/>
      <c r="H128" s="598"/>
      <c r="I128" s="331"/>
      <c r="J128" s="775"/>
      <c r="K128" s="598"/>
      <c r="L128" s="577"/>
      <c r="M128" s="806"/>
      <c r="N128" s="801"/>
      <c r="O128" s="150"/>
      <c r="P128" s="150"/>
      <c r="AH128" s="42">
        <v>0</v>
      </c>
    </row>
    <row r="129" s="42" customFormat="1" ht="18.75" hidden="1" customHeight="1" spans="1:34">
      <c r="A129" s="80" t="s">
        <v>255</v>
      </c>
      <c r="B129" s="80" t="s">
        <v>256</v>
      </c>
      <c r="C129" s="784"/>
      <c r="D129" s="795"/>
      <c r="E129" s="294"/>
      <c r="F129" s="326" t="str">
        <f>INDEX(PT_DIFFERENTIATION_VTAR,MATCH(A129,PT_DIFFERENTIATION_VTAR_ID,0))</f>
        <v>Тариф на горячую воду (горячее водоснабжение)</v>
      </c>
      <c r="G129" s="785" t="str">
        <f>INDEX(PT_DIFFERENTIATION_NTAR,MATCH(B129,PT_DIFFERENTIATION_NTAR_ID,0))</f>
        <v/>
      </c>
      <c r="H129" s="132"/>
      <c r="I129" s="798"/>
      <c r="J129" s="799"/>
      <c r="K129" s="262"/>
      <c r="L129" s="132" t="s">
        <v>311</v>
      </c>
      <c r="M129" s="806"/>
      <c r="N129" s="801"/>
      <c r="O129" s="150"/>
      <c r="P129" s="150"/>
      <c r="AH129" s="42">
        <v>0</v>
      </c>
    </row>
    <row r="130" s="42" customFormat="1" ht="18.75" hidden="1" customHeight="1" spans="1:34">
      <c r="A130" s="80"/>
      <c r="B130" s="80"/>
      <c r="C130" s="784" t="s">
        <v>1168</v>
      </c>
      <c r="D130" s="795"/>
      <c r="E130" s="294"/>
      <c r="F130" s="326"/>
      <c r="G130" s="785"/>
      <c r="H130" s="598"/>
      <c r="I130" s="331" t="s">
        <v>1167</v>
      </c>
      <c r="J130" s="775"/>
      <c r="K130" s="598"/>
      <c r="L130" s="577"/>
      <c r="M130" s="806"/>
      <c r="N130" s="801"/>
      <c r="O130" s="150"/>
      <c r="P130" s="150"/>
      <c r="AH130" s="42">
        <v>0</v>
      </c>
    </row>
    <row r="131" s="42" customFormat="1" ht="0.75" hidden="1" customHeight="1" spans="1:34">
      <c r="A131" s="80"/>
      <c r="B131" s="80"/>
      <c r="C131" s="784" t="s">
        <v>1175</v>
      </c>
      <c r="D131" s="795"/>
      <c r="E131" s="294"/>
      <c r="F131" s="326"/>
      <c r="G131" s="794"/>
      <c r="H131" s="598"/>
      <c r="I131" s="331"/>
      <c r="J131" s="775"/>
      <c r="K131" s="598"/>
      <c r="L131" s="577"/>
      <c r="M131" s="806"/>
      <c r="N131" s="801"/>
      <c r="O131" s="150"/>
      <c r="P131" s="150"/>
      <c r="AH131" s="42">
        <v>0</v>
      </c>
    </row>
    <row r="132" s="42" customFormat="1" ht="18.75" hidden="1" customHeight="1" spans="1:34">
      <c r="A132" s="80" t="s">
        <v>260</v>
      </c>
      <c r="B132" s="80" t="s">
        <v>261</v>
      </c>
      <c r="C132" s="784"/>
      <c r="D132" s="795"/>
      <c r="E132" s="294"/>
      <c r="F132" s="326" t="str">
        <f>INDEX(PT_DIFFERENTIATION_VTAR,MATCH(A132,PT_DIFFERENTIATION_VTAR_ID,0))</f>
        <v>Тариф на транспортировку горячей воды</v>
      </c>
      <c r="G132" s="785" t="str">
        <f>INDEX(PT_DIFFERENTIATION_NTAR,MATCH(B132,PT_DIFFERENTIATION_NTAR_ID,0))</f>
        <v/>
      </c>
      <c r="H132" s="132"/>
      <c r="I132" s="798"/>
      <c r="J132" s="799"/>
      <c r="K132" s="262"/>
      <c r="L132" s="132" t="s">
        <v>311</v>
      </c>
      <c r="M132" s="806"/>
      <c r="N132" s="801"/>
      <c r="O132" s="150"/>
      <c r="P132" s="150"/>
      <c r="AH132" s="42">
        <v>0</v>
      </c>
    </row>
    <row r="133" s="42" customFormat="1" ht="18.75" hidden="1" customHeight="1" spans="1:34">
      <c r="A133" s="80"/>
      <c r="B133" s="80"/>
      <c r="C133" s="784" t="s">
        <v>1168</v>
      </c>
      <c r="D133" s="795"/>
      <c r="E133" s="294"/>
      <c r="F133" s="326"/>
      <c r="G133" s="785"/>
      <c r="H133" s="598"/>
      <c r="I133" s="331" t="s">
        <v>1167</v>
      </c>
      <c r="J133" s="775"/>
      <c r="K133" s="598"/>
      <c r="L133" s="577"/>
      <c r="M133" s="806"/>
      <c r="N133" s="801"/>
      <c r="O133" s="150"/>
      <c r="P133" s="150"/>
      <c r="AH133" s="42">
        <v>0</v>
      </c>
    </row>
    <row r="134" s="42" customFormat="1" ht="0.75" hidden="1" customHeight="1" spans="1:34">
      <c r="A134" s="80"/>
      <c r="B134" s="80"/>
      <c r="C134" s="784" t="s">
        <v>1175</v>
      </c>
      <c r="D134" s="795"/>
      <c r="E134" s="294"/>
      <c r="F134" s="326"/>
      <c r="G134" s="794"/>
      <c r="H134" s="598"/>
      <c r="I134" s="331"/>
      <c r="J134" s="775"/>
      <c r="K134" s="598"/>
      <c r="L134" s="577"/>
      <c r="M134" s="806"/>
      <c r="N134" s="801"/>
      <c r="O134" s="150"/>
      <c r="P134" s="150"/>
      <c r="AH134" s="42">
        <v>0</v>
      </c>
    </row>
    <row r="135" s="42" customFormat="1" ht="18.75" hidden="1" customHeight="1" spans="1:34">
      <c r="A135" s="80" t="s">
        <v>265</v>
      </c>
      <c r="B135" s="80" t="s">
        <v>266</v>
      </c>
      <c r="C135" s="784"/>
      <c r="D135" s="795"/>
      <c r="E135" s="294"/>
      <c r="F135" s="326" t="str">
        <f>INDEX(PT_DIFFERENTIATION_VTAR,MATCH(A135,PT_DIFFERENTIATION_VTAR_ID,0))</f>
        <v>Тариф на подключение (технологическое присоединение) к централизованной системе горячего водоснабжения</v>
      </c>
      <c r="G135" s="785" t="str">
        <f>INDEX(PT_DIFFERENTIATION_NTAR,MATCH(B135,PT_DIFFERENTIATION_NTAR_ID,0))</f>
        <v/>
      </c>
      <c r="H135" s="132"/>
      <c r="I135" s="798"/>
      <c r="J135" s="799"/>
      <c r="K135" s="262"/>
      <c r="L135" s="132" t="s">
        <v>311</v>
      </c>
      <c r="M135" s="806"/>
      <c r="N135" s="801"/>
      <c r="O135" s="150"/>
      <c r="P135" s="150"/>
      <c r="AH135" s="42">
        <v>0</v>
      </c>
    </row>
    <row r="136" s="42" customFormat="1" ht="18.75" hidden="1" customHeight="1" spans="1:34">
      <c r="A136" s="80"/>
      <c r="B136" s="80"/>
      <c r="C136" s="784" t="s">
        <v>1168</v>
      </c>
      <c r="D136" s="795"/>
      <c r="E136" s="294"/>
      <c r="F136" s="326"/>
      <c r="G136" s="785"/>
      <c r="H136" s="598"/>
      <c r="I136" s="331" t="s">
        <v>1167</v>
      </c>
      <c r="J136" s="775"/>
      <c r="K136" s="598"/>
      <c r="L136" s="577"/>
      <c r="M136" s="806"/>
      <c r="N136" s="801"/>
      <c r="O136" s="150"/>
      <c r="P136" s="150"/>
      <c r="AH136" s="42">
        <v>0</v>
      </c>
    </row>
    <row r="137" s="42" customFormat="1" ht="0.75" hidden="1" customHeight="1" spans="1:34">
      <c r="A137" s="80"/>
      <c r="B137" s="80"/>
      <c r="C137" s="784" t="s">
        <v>1175</v>
      </c>
      <c r="D137" s="795"/>
      <c r="E137" s="294"/>
      <c r="F137" s="326"/>
      <c r="G137" s="794"/>
      <c r="H137" s="598"/>
      <c r="I137" s="331"/>
      <c r="J137" s="775"/>
      <c r="K137" s="598"/>
      <c r="L137" s="577"/>
      <c r="M137" s="806"/>
      <c r="N137" s="801"/>
      <c r="O137" s="150"/>
      <c r="P137" s="150"/>
      <c r="AH137" s="42">
        <v>0</v>
      </c>
    </row>
    <row r="138" s="42" customFormat="1" ht="18.75" hidden="1" customHeight="1" spans="1:34">
      <c r="A138" s="80" t="s">
        <v>270</v>
      </c>
      <c r="B138" s="80" t="s">
        <v>271</v>
      </c>
      <c r="C138" s="784"/>
      <c r="D138" s="795"/>
      <c r="E138" s="294"/>
      <c r="F138" s="326" t="str">
        <f>INDEX(PT_DIFFERENTIATION_VTAR,MATCH(A138,PT_DIFFERENTIATION_VTAR_ID,0))</f>
        <v>Тариф на водоотведение</v>
      </c>
      <c r="G138" s="785" t="str">
        <f>INDEX(PT_DIFFERENTIATION_NTAR,MATCH(B138,PT_DIFFERENTIATION_NTAR_ID,0))</f>
        <v/>
      </c>
      <c r="H138" s="132"/>
      <c r="I138" s="798"/>
      <c r="J138" s="799"/>
      <c r="K138" s="262"/>
      <c r="L138" s="132" t="s">
        <v>311</v>
      </c>
      <c r="M138" s="806"/>
      <c r="N138" s="801"/>
      <c r="O138" s="150"/>
      <c r="P138" s="150"/>
      <c r="AH138" s="42">
        <v>0</v>
      </c>
    </row>
    <row r="139" s="42" customFormat="1" ht="18.75" hidden="1" customHeight="1" spans="1:34">
      <c r="A139" s="80"/>
      <c r="B139" s="80"/>
      <c r="C139" s="784" t="s">
        <v>1168</v>
      </c>
      <c r="D139" s="795"/>
      <c r="E139" s="294"/>
      <c r="F139" s="326"/>
      <c r="G139" s="785"/>
      <c r="H139" s="598"/>
      <c r="I139" s="331" t="s">
        <v>1167</v>
      </c>
      <c r="J139" s="775"/>
      <c r="K139" s="598"/>
      <c r="L139" s="577"/>
      <c r="M139" s="806"/>
      <c r="N139" s="801"/>
      <c r="O139" s="150"/>
      <c r="P139" s="150"/>
      <c r="AH139" s="42">
        <v>0</v>
      </c>
    </row>
    <row r="140" s="42" customFormat="1" ht="0.75" hidden="1" customHeight="1" spans="1:34">
      <c r="A140" s="80"/>
      <c r="B140" s="80"/>
      <c r="C140" s="784" t="s">
        <v>1175</v>
      </c>
      <c r="D140" s="795"/>
      <c r="E140" s="294"/>
      <c r="F140" s="326"/>
      <c r="G140" s="794"/>
      <c r="H140" s="598"/>
      <c r="I140" s="331"/>
      <c r="J140" s="775"/>
      <c r="K140" s="598"/>
      <c r="L140" s="577"/>
      <c r="M140" s="806"/>
      <c r="N140" s="801"/>
      <c r="O140" s="150"/>
      <c r="P140" s="150"/>
      <c r="AH140" s="42">
        <v>0</v>
      </c>
    </row>
    <row r="141" s="42" customFormat="1" ht="18.75" hidden="1" customHeight="1" spans="1:34">
      <c r="A141" s="80" t="s">
        <v>275</v>
      </c>
      <c r="B141" s="80" t="s">
        <v>276</v>
      </c>
      <c r="C141" s="784"/>
      <c r="D141" s="795"/>
      <c r="E141" s="294"/>
      <c r="F141" s="326" t="str">
        <f>INDEX(PT_DIFFERENTIATION_VTAR,MATCH(A141,PT_DIFFERENTIATION_VTAR_ID,0))</f>
        <v>Тариф на транспортировку сточных вод</v>
      </c>
      <c r="G141" s="785" t="str">
        <f>INDEX(PT_DIFFERENTIATION_NTAR,MATCH(B141,PT_DIFFERENTIATION_NTAR_ID,0))</f>
        <v/>
      </c>
      <c r="H141" s="132"/>
      <c r="I141" s="798"/>
      <c r="J141" s="799"/>
      <c r="K141" s="262"/>
      <c r="L141" s="132" t="s">
        <v>311</v>
      </c>
      <c r="M141" s="806"/>
      <c r="N141" s="801"/>
      <c r="O141" s="150"/>
      <c r="P141" s="150"/>
      <c r="AH141" s="42">
        <v>0</v>
      </c>
    </row>
    <row r="142" s="42" customFormat="1" ht="18.75" hidden="1" customHeight="1" spans="1:34">
      <c r="A142" s="80"/>
      <c r="B142" s="80"/>
      <c r="C142" s="784" t="s">
        <v>1168</v>
      </c>
      <c r="D142" s="795"/>
      <c r="E142" s="294"/>
      <c r="F142" s="326"/>
      <c r="G142" s="785"/>
      <c r="H142" s="598"/>
      <c r="I142" s="331" t="s">
        <v>1167</v>
      </c>
      <c r="J142" s="775"/>
      <c r="K142" s="598"/>
      <c r="L142" s="577"/>
      <c r="M142" s="806"/>
      <c r="N142" s="801"/>
      <c r="O142" s="150"/>
      <c r="P142" s="150"/>
      <c r="AH142" s="42">
        <v>0</v>
      </c>
    </row>
    <row r="143" s="42" customFormat="1" ht="0.75" hidden="1" customHeight="1" spans="1:34">
      <c r="A143" s="80"/>
      <c r="B143" s="80"/>
      <c r="C143" s="784" t="s">
        <v>1175</v>
      </c>
      <c r="D143" s="795"/>
      <c r="E143" s="294"/>
      <c r="F143" s="326"/>
      <c r="G143" s="794"/>
      <c r="H143" s="598"/>
      <c r="I143" s="331"/>
      <c r="J143" s="775"/>
      <c r="K143" s="598"/>
      <c r="L143" s="577"/>
      <c r="M143" s="806"/>
      <c r="N143" s="801"/>
      <c r="O143" s="150"/>
      <c r="P143" s="150"/>
      <c r="AH143" s="42">
        <v>0</v>
      </c>
    </row>
    <row r="144" s="42" customFormat="1" ht="18.75" hidden="1" customHeight="1" spans="1:34">
      <c r="A144" s="80" t="s">
        <v>280</v>
      </c>
      <c r="B144" s="80" t="s">
        <v>281</v>
      </c>
      <c r="C144" s="784"/>
      <c r="D144" s="795"/>
      <c r="E144" s="294"/>
      <c r="F144" s="326" t="str">
        <f>INDEX(PT_DIFFERENTIATION_VTAR,MATCH(A144,PT_DIFFERENTIATION_VTAR_ID,0))</f>
        <v>Тариф на подключение (технологическое присоединение) к централизованной системе водоотведения</v>
      </c>
      <c r="G144" s="785" t="str">
        <f>INDEX(PT_DIFFERENTIATION_NTAR,MATCH(B144,PT_DIFFERENTIATION_NTAR_ID,0))</f>
        <v/>
      </c>
      <c r="H144" s="132"/>
      <c r="I144" s="798"/>
      <c r="J144" s="799"/>
      <c r="K144" s="262"/>
      <c r="L144" s="132" t="s">
        <v>311</v>
      </c>
      <c r="M144" s="806"/>
      <c r="N144" s="801"/>
      <c r="O144" s="150"/>
      <c r="P144" s="150"/>
      <c r="AH144" s="42">
        <v>0</v>
      </c>
    </row>
    <row r="145" s="42" customFormat="1" ht="18.75" hidden="1" customHeight="1" spans="1:34">
      <c r="A145" s="80"/>
      <c r="B145" s="80"/>
      <c r="C145" s="784" t="s">
        <v>1168</v>
      </c>
      <c r="D145" s="795"/>
      <c r="E145" s="294"/>
      <c r="F145" s="326"/>
      <c r="G145" s="785"/>
      <c r="H145" s="598"/>
      <c r="I145" s="331" t="s">
        <v>1167</v>
      </c>
      <c r="J145" s="775"/>
      <c r="K145" s="598"/>
      <c r="L145" s="577"/>
      <c r="M145" s="806"/>
      <c r="N145" s="801"/>
      <c r="O145" s="150"/>
      <c r="P145" s="150"/>
      <c r="AH145" s="42">
        <v>0</v>
      </c>
    </row>
    <row r="146" s="42" customFormat="1" ht="1.05" customHeight="1" spans="1:34">
      <c r="A146" s="80"/>
      <c r="B146" s="80"/>
      <c r="C146" s="784" t="s">
        <v>1175</v>
      </c>
      <c r="D146" s="795"/>
      <c r="E146" s="294"/>
      <c r="F146" s="326"/>
      <c r="G146" s="794"/>
      <c r="H146" s="598"/>
      <c r="I146" s="331"/>
      <c r="J146" s="775"/>
      <c r="K146" s="598"/>
      <c r="L146" s="577"/>
      <c r="M146" s="806"/>
      <c r="N146" s="801"/>
      <c r="O146" s="150"/>
      <c r="P146" s="150"/>
      <c r="AH146" s="42">
        <v>1</v>
      </c>
    </row>
    <row r="147" ht="19.95" customHeight="1" spans="1:34">
      <c r="A147" s="80"/>
      <c r="B147" s="80"/>
      <c r="D147" s="50"/>
      <c r="E147" s="294" t="s">
        <v>92</v>
      </c>
      <c r="F147" s="4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464"/>
      <c r="H147" s="464"/>
      <c r="I147" s="464"/>
      <c r="J147" s="464"/>
      <c r="K147" s="464"/>
      <c r="L147" s="464"/>
      <c r="M147" s="805"/>
      <c r="N147" s="801"/>
      <c r="AH147" s="42">
        <v>19</v>
      </c>
    </row>
    <row r="148" s="42" customFormat="1" ht="60.75" hidden="1" customHeight="1" spans="1:34">
      <c r="A148" s="80" t="s">
        <v>157</v>
      </c>
      <c r="B148" s="80" t="s">
        <v>158</v>
      </c>
      <c r="C148" s="784"/>
      <c r="D148" s="795"/>
      <c r="E148" s="294"/>
      <c r="F148" s="32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785" t="str">
        <f>INDEX(PT_DIFFERENTIATION_NTAR,MATCH(B148,PT_DIFFERENTIATION_NTAR_ID,0))</f>
        <v/>
      </c>
      <c r="H148" s="132"/>
      <c r="I148" s="798"/>
      <c r="J148" s="799"/>
      <c r="K148" s="262"/>
      <c r="L148" s="132" t="s">
        <v>311</v>
      </c>
      <c r="M148" s="5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801"/>
      <c r="O148" s="150"/>
      <c r="P148" s="150"/>
      <c r="AH148" s="42">
        <v>0</v>
      </c>
    </row>
    <row r="149" s="42" customFormat="1" ht="18.75" hidden="1" customHeight="1" spans="1:34">
      <c r="A149" s="80"/>
      <c r="B149" s="80"/>
      <c r="C149" s="784" t="s">
        <v>1168</v>
      </c>
      <c r="D149" s="795"/>
      <c r="E149" s="294"/>
      <c r="F149" s="326"/>
      <c r="G149" s="785"/>
      <c r="H149" s="598"/>
      <c r="I149" s="331" t="s">
        <v>1167</v>
      </c>
      <c r="J149" s="775"/>
      <c r="K149" s="598"/>
      <c r="L149" s="577"/>
      <c r="M149" s="774"/>
      <c r="N149" s="801"/>
      <c r="O149" s="150"/>
      <c r="P149" s="150"/>
      <c r="AH149" s="42">
        <v>0</v>
      </c>
    </row>
    <row r="150" s="42" customFormat="1" ht="0.75" hidden="1" customHeight="1" spans="1:34">
      <c r="A150" s="80"/>
      <c r="B150" s="80"/>
      <c r="C150" s="784" t="s">
        <v>1175</v>
      </c>
      <c r="D150" s="795"/>
      <c r="E150" s="294"/>
      <c r="F150" s="326"/>
      <c r="G150" s="794"/>
      <c r="H150" s="598"/>
      <c r="I150" s="331"/>
      <c r="J150" s="775"/>
      <c r="K150" s="598"/>
      <c r="L150" s="577"/>
      <c r="M150" s="774"/>
      <c r="N150" s="801"/>
      <c r="O150" s="150"/>
      <c r="P150" s="150"/>
      <c r="AH150" s="42">
        <v>0</v>
      </c>
    </row>
    <row r="151" s="42" customFormat="1" ht="45" hidden="1" customHeight="1" spans="1:34">
      <c r="A151" s="80" t="s">
        <v>162</v>
      </c>
      <c r="B151" s="80" t="s">
        <v>163</v>
      </c>
      <c r="C151" s="784"/>
      <c r="D151" s="795"/>
      <c r="E151" s="294"/>
      <c r="F151" s="326" t="str">
        <f>INDEX(PT_DIFFERENTIATION_VTAR,MATCH(A151,PT_DIFFERENTIATION_VTAR_ID,0))</f>
        <v/>
      </c>
      <c r="G151" s="785" t="str">
        <f>INDEX(PT_DIFFERENTIATION_NTAR,MATCH(B151,PT_DIFFERENTIATION_NTAR_ID,0))</f>
        <v/>
      </c>
      <c r="H151" s="132"/>
      <c r="I151" s="798"/>
      <c r="J151" s="799"/>
      <c r="K151" s="262"/>
      <c r="L151" s="132" t="s">
        <v>311</v>
      </c>
      <c r="M151" s="581"/>
      <c r="N151" s="801"/>
      <c r="O151" s="150"/>
      <c r="P151" s="150"/>
      <c r="AH151" s="42">
        <v>0</v>
      </c>
    </row>
    <row r="152" s="42" customFormat="1" ht="18.75" hidden="1" customHeight="1" spans="1:34">
      <c r="A152" s="80"/>
      <c r="B152" s="80"/>
      <c r="C152" s="784" t="s">
        <v>1168</v>
      </c>
      <c r="D152" s="795"/>
      <c r="E152" s="294"/>
      <c r="F152" s="326"/>
      <c r="G152" s="785"/>
      <c r="H152" s="598"/>
      <c r="I152" s="331" t="s">
        <v>1167</v>
      </c>
      <c r="J152" s="775"/>
      <c r="K152" s="598"/>
      <c r="L152" s="577"/>
      <c r="M152" s="774"/>
      <c r="N152" s="801"/>
      <c r="O152" s="150"/>
      <c r="P152" s="150"/>
      <c r="AH152" s="42">
        <v>0</v>
      </c>
    </row>
    <row r="153" s="42" customFormat="1" ht="0.75" hidden="1" customHeight="1" spans="1:34">
      <c r="A153" s="80"/>
      <c r="B153" s="80"/>
      <c r="C153" s="784" t="s">
        <v>1175</v>
      </c>
      <c r="D153" s="795"/>
      <c r="E153" s="294"/>
      <c r="F153" s="326"/>
      <c r="G153" s="794"/>
      <c r="H153" s="598"/>
      <c r="I153" s="331"/>
      <c r="J153" s="775"/>
      <c r="K153" s="598"/>
      <c r="L153" s="577"/>
      <c r="M153" s="806"/>
      <c r="N153" s="801"/>
      <c r="O153" s="150"/>
      <c r="P153" s="150"/>
      <c r="AH153" s="42">
        <v>0</v>
      </c>
    </row>
    <row r="154" s="42" customFormat="1" ht="45" hidden="1" customHeight="1" spans="1:34">
      <c r="A154" s="80" t="s">
        <v>169</v>
      </c>
      <c r="B154" s="80" t="s">
        <v>170</v>
      </c>
      <c r="C154" s="784"/>
      <c r="D154" s="795"/>
      <c r="E154" s="294"/>
      <c r="F154" s="32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785" t="str">
        <f>INDEX(PT_DIFFERENTIATION_NTAR,MATCH(B154,PT_DIFFERENTIATION_NTAR_ID,0))</f>
        <v/>
      </c>
      <c r="H154" s="132"/>
      <c r="I154" s="798"/>
      <c r="J154" s="799"/>
      <c r="K154" s="262"/>
      <c r="L154" s="132" t="s">
        <v>311</v>
      </c>
      <c r="M154" s="806"/>
      <c r="N154" s="801"/>
      <c r="O154" s="150"/>
      <c r="P154" s="150"/>
      <c r="AH154" s="42">
        <v>0</v>
      </c>
    </row>
    <row r="155" s="42" customFormat="1" ht="18.75" hidden="1" customHeight="1" spans="1:34">
      <c r="A155" s="80"/>
      <c r="B155" s="80"/>
      <c r="C155" s="784" t="s">
        <v>1168</v>
      </c>
      <c r="D155" s="795"/>
      <c r="E155" s="294"/>
      <c r="F155" s="326"/>
      <c r="G155" s="785"/>
      <c r="H155" s="598"/>
      <c r="I155" s="331" t="s">
        <v>1167</v>
      </c>
      <c r="J155" s="775"/>
      <c r="K155" s="598"/>
      <c r="L155" s="577"/>
      <c r="M155" s="806"/>
      <c r="N155" s="801"/>
      <c r="O155" s="150"/>
      <c r="P155" s="150"/>
      <c r="AH155" s="42">
        <v>0</v>
      </c>
    </row>
    <row r="156" s="42" customFormat="1" ht="0.75" hidden="1" customHeight="1" spans="1:34">
      <c r="A156" s="80"/>
      <c r="B156" s="80"/>
      <c r="C156" s="784" t="s">
        <v>1175</v>
      </c>
      <c r="D156" s="795"/>
      <c r="E156" s="294"/>
      <c r="F156" s="326"/>
      <c r="G156" s="794"/>
      <c r="H156" s="598"/>
      <c r="I156" s="331"/>
      <c r="J156" s="775"/>
      <c r="K156" s="598"/>
      <c r="L156" s="577"/>
      <c r="M156" s="806"/>
      <c r="N156" s="801"/>
      <c r="O156" s="150"/>
      <c r="P156" s="150"/>
      <c r="AH156" s="42">
        <v>0</v>
      </c>
    </row>
    <row r="157" s="42" customFormat="1" ht="45" hidden="1" customHeight="1" spans="1:34">
      <c r="A157" s="80" t="s">
        <v>175</v>
      </c>
      <c r="B157" s="80" t="s">
        <v>176</v>
      </c>
      <c r="C157" s="784"/>
      <c r="D157" s="795"/>
      <c r="E157" s="294"/>
      <c r="F157" s="32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785" t="str">
        <f>INDEX(PT_DIFFERENTIATION_NTAR,MATCH(B157,PT_DIFFERENTIATION_NTAR_ID,0))</f>
        <v/>
      </c>
      <c r="H157" s="132"/>
      <c r="I157" s="798"/>
      <c r="J157" s="799"/>
      <c r="K157" s="262"/>
      <c r="L157" s="132" t="s">
        <v>311</v>
      </c>
      <c r="M157" s="806"/>
      <c r="N157" s="801"/>
      <c r="O157" s="150"/>
      <c r="P157" s="150"/>
      <c r="AH157" s="42">
        <v>0</v>
      </c>
    </row>
    <row r="158" s="42" customFormat="1" ht="18.75" hidden="1" customHeight="1" spans="1:34">
      <c r="A158" s="80"/>
      <c r="B158" s="80"/>
      <c r="C158" s="784" t="s">
        <v>1168</v>
      </c>
      <c r="D158" s="795"/>
      <c r="E158" s="294"/>
      <c r="F158" s="326"/>
      <c r="G158" s="785"/>
      <c r="H158" s="598"/>
      <c r="I158" s="331" t="s">
        <v>1167</v>
      </c>
      <c r="J158" s="775"/>
      <c r="K158" s="598"/>
      <c r="L158" s="577"/>
      <c r="M158" s="806"/>
      <c r="N158" s="801"/>
      <c r="O158" s="150"/>
      <c r="P158" s="150"/>
      <c r="AH158" s="42">
        <v>0</v>
      </c>
    </row>
    <row r="159" s="42" customFormat="1" ht="0.75" hidden="1" customHeight="1" spans="1:34">
      <c r="A159" s="80"/>
      <c r="B159" s="80"/>
      <c r="C159" s="784" t="s">
        <v>1175</v>
      </c>
      <c r="D159" s="795"/>
      <c r="E159" s="294"/>
      <c r="F159" s="326"/>
      <c r="G159" s="794"/>
      <c r="H159" s="598"/>
      <c r="I159" s="331"/>
      <c r="J159" s="775"/>
      <c r="K159" s="598"/>
      <c r="L159" s="577"/>
      <c r="M159" s="806"/>
      <c r="N159" s="801"/>
      <c r="O159" s="150"/>
      <c r="P159" s="150"/>
      <c r="AH159" s="42">
        <v>0</v>
      </c>
    </row>
    <row r="160" s="42" customFormat="1" ht="18.75" hidden="1" customHeight="1" spans="1:34">
      <c r="A160" s="80" t="s">
        <v>181</v>
      </c>
      <c r="B160" s="80" t="s">
        <v>182</v>
      </c>
      <c r="C160" s="784"/>
      <c r="D160" s="795"/>
      <c r="E160" s="294"/>
      <c r="F160" s="326" t="str">
        <f>INDEX(PT_DIFFERENTIATION_VTAR,MATCH(A160,PT_DIFFERENTIATION_VTAR_ID,0))</f>
        <v>Тарифы на услуги по передаче тепловой энергии</v>
      </c>
      <c r="G160" s="785" t="str">
        <f>INDEX(PT_DIFFERENTIATION_NTAR,MATCH(B160,PT_DIFFERENTIATION_NTAR_ID,0))</f>
        <v/>
      </c>
      <c r="H160" s="132"/>
      <c r="I160" s="798"/>
      <c r="J160" s="799"/>
      <c r="K160" s="262"/>
      <c r="L160" s="132" t="s">
        <v>311</v>
      </c>
      <c r="M160" s="806"/>
      <c r="N160" s="801"/>
      <c r="O160" s="150"/>
      <c r="P160" s="150"/>
      <c r="AH160" s="42">
        <v>0</v>
      </c>
    </row>
    <row r="161" s="42" customFormat="1" ht="18.75" hidden="1" customHeight="1" spans="1:34">
      <c r="A161" s="80"/>
      <c r="B161" s="80"/>
      <c r="C161" s="784" t="s">
        <v>1168</v>
      </c>
      <c r="D161" s="795"/>
      <c r="E161" s="294"/>
      <c r="F161" s="326"/>
      <c r="G161" s="785"/>
      <c r="H161" s="598"/>
      <c r="I161" s="331" t="s">
        <v>1167</v>
      </c>
      <c r="J161" s="775"/>
      <c r="K161" s="598"/>
      <c r="L161" s="577"/>
      <c r="M161" s="806"/>
      <c r="N161" s="801"/>
      <c r="O161" s="150"/>
      <c r="P161" s="150"/>
      <c r="AH161" s="42">
        <v>0</v>
      </c>
    </row>
    <row r="162" s="42" customFormat="1" ht="0.75" hidden="1" customHeight="1" spans="1:34">
      <c r="A162" s="80"/>
      <c r="B162" s="80"/>
      <c r="C162" s="784" t="s">
        <v>1175</v>
      </c>
      <c r="D162" s="795"/>
      <c r="E162" s="294"/>
      <c r="F162" s="326"/>
      <c r="G162" s="794"/>
      <c r="H162" s="598"/>
      <c r="I162" s="331"/>
      <c r="J162" s="775"/>
      <c r="K162" s="598"/>
      <c r="L162" s="577"/>
      <c r="M162" s="806"/>
      <c r="N162" s="801"/>
      <c r="O162" s="150"/>
      <c r="P162" s="150"/>
      <c r="AH162" s="42">
        <v>0</v>
      </c>
    </row>
    <row r="163" s="42" customFormat="1" ht="18.75" hidden="1" customHeight="1" spans="1:34">
      <c r="A163" s="80" t="s">
        <v>187</v>
      </c>
      <c r="B163" s="80" t="s">
        <v>188</v>
      </c>
      <c r="C163" s="784"/>
      <c r="D163" s="795"/>
      <c r="E163" s="294"/>
      <c r="F163" s="326" t="str">
        <f>INDEX(PT_DIFFERENTIATION_VTAR,MATCH(A163,PT_DIFFERENTIATION_VTAR_ID,0))</f>
        <v>Тарифы на услуги по передаче теплоносителя</v>
      </c>
      <c r="G163" s="785" t="str">
        <f>INDEX(PT_DIFFERENTIATION_NTAR,MATCH(B163,PT_DIFFERENTIATION_NTAR_ID,0))</f>
        <v/>
      </c>
      <c r="H163" s="132"/>
      <c r="I163" s="798"/>
      <c r="J163" s="799"/>
      <c r="K163" s="262"/>
      <c r="L163" s="132" t="s">
        <v>311</v>
      </c>
      <c r="M163" s="806"/>
      <c r="N163" s="801"/>
      <c r="O163" s="150"/>
      <c r="P163" s="150"/>
      <c r="AH163" s="42">
        <v>0</v>
      </c>
    </row>
    <row r="164" s="42" customFormat="1" ht="18.75" hidden="1" customHeight="1" spans="1:34">
      <c r="A164" s="80"/>
      <c r="B164" s="80"/>
      <c r="C164" s="784" t="s">
        <v>1168</v>
      </c>
      <c r="D164" s="795"/>
      <c r="E164" s="294"/>
      <c r="F164" s="326"/>
      <c r="G164" s="785"/>
      <c r="H164" s="598"/>
      <c r="I164" s="331" t="s">
        <v>1167</v>
      </c>
      <c r="J164" s="775"/>
      <c r="K164" s="598"/>
      <c r="L164" s="577"/>
      <c r="M164" s="806"/>
      <c r="N164" s="801"/>
      <c r="O164" s="150"/>
      <c r="P164" s="150"/>
      <c r="AH164" s="42">
        <v>0</v>
      </c>
    </row>
    <row r="165" s="42" customFormat="1" ht="0.75" hidden="1" customHeight="1" spans="1:34">
      <c r="A165" s="80"/>
      <c r="B165" s="80"/>
      <c r="C165" s="784" t="s">
        <v>1175</v>
      </c>
      <c r="D165" s="795"/>
      <c r="E165" s="294"/>
      <c r="F165" s="326"/>
      <c r="G165" s="794"/>
      <c r="H165" s="598"/>
      <c r="I165" s="331"/>
      <c r="J165" s="775"/>
      <c r="K165" s="598"/>
      <c r="L165" s="577"/>
      <c r="M165" s="806"/>
      <c r="N165" s="801"/>
      <c r="O165" s="150"/>
      <c r="P165" s="150"/>
      <c r="AH165" s="42">
        <v>0</v>
      </c>
    </row>
    <row r="166" s="42" customFormat="1" ht="18.75" hidden="1" customHeight="1" spans="1:34">
      <c r="A166" s="80" t="s">
        <v>193</v>
      </c>
      <c r="B166" s="80" t="s">
        <v>194</v>
      </c>
      <c r="C166" s="784"/>
      <c r="D166" s="795"/>
      <c r="E166" s="294"/>
      <c r="F166" s="32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785" t="str">
        <f>INDEX(PT_DIFFERENTIATION_NTAR,MATCH(B166,PT_DIFFERENTIATION_NTAR_ID,0))</f>
        <v/>
      </c>
      <c r="H166" s="132"/>
      <c r="I166" s="798"/>
      <c r="J166" s="799"/>
      <c r="K166" s="262"/>
      <c r="L166" s="132" t="s">
        <v>311</v>
      </c>
      <c r="M166" s="806"/>
      <c r="N166" s="801"/>
      <c r="O166" s="150"/>
      <c r="P166" s="150"/>
      <c r="AH166" s="42">
        <v>0</v>
      </c>
    </row>
    <row r="167" s="42" customFormat="1" ht="18.75" hidden="1" customHeight="1" spans="1:34">
      <c r="A167" s="80"/>
      <c r="B167" s="80"/>
      <c r="C167" s="784" t="s">
        <v>1168</v>
      </c>
      <c r="D167" s="795"/>
      <c r="E167" s="294"/>
      <c r="F167" s="326"/>
      <c r="G167" s="785"/>
      <c r="H167" s="598"/>
      <c r="I167" s="331" t="s">
        <v>1167</v>
      </c>
      <c r="J167" s="775"/>
      <c r="K167" s="598"/>
      <c r="L167" s="577"/>
      <c r="M167" s="806"/>
      <c r="N167" s="801"/>
      <c r="O167" s="150"/>
      <c r="P167" s="150"/>
      <c r="AH167" s="42">
        <v>0</v>
      </c>
    </row>
    <row r="168" s="42" customFormat="1" ht="0.75" hidden="1" customHeight="1" spans="1:34">
      <c r="A168" s="80"/>
      <c r="B168" s="80"/>
      <c r="C168" s="784" t="s">
        <v>1175</v>
      </c>
      <c r="D168" s="795"/>
      <c r="E168" s="294"/>
      <c r="F168" s="326"/>
      <c r="G168" s="794"/>
      <c r="H168" s="598"/>
      <c r="I168" s="331"/>
      <c r="J168" s="775"/>
      <c r="K168" s="598"/>
      <c r="L168" s="577"/>
      <c r="M168" s="806"/>
      <c r="N168" s="801"/>
      <c r="O168" s="150"/>
      <c r="P168" s="150"/>
      <c r="AH168" s="42">
        <v>0</v>
      </c>
    </row>
    <row r="169" s="42" customFormat="1" ht="18.75" hidden="1" customHeight="1" spans="1:34">
      <c r="A169" s="80" t="s">
        <v>199</v>
      </c>
      <c r="B169" s="80" t="s">
        <v>200</v>
      </c>
      <c r="C169" s="784"/>
      <c r="D169" s="795"/>
      <c r="E169" s="294"/>
      <c r="F169" s="326" t="str">
        <f>INDEX(PT_DIFFERENTIATION_VTAR,MATCH(A169,PT_DIFFERENTIATION_VTAR_ID,0))</f>
        <v>Плата за подключение (технологическое присоединение) к системе теплоснабжения</v>
      </c>
      <c r="G169" s="785" t="str">
        <f>INDEX(PT_DIFFERENTIATION_NTAR,MATCH(B169,PT_DIFFERENTIATION_NTAR_ID,0))</f>
        <v/>
      </c>
      <c r="H169" s="132"/>
      <c r="I169" s="798"/>
      <c r="J169" s="799"/>
      <c r="K169" s="262"/>
      <c r="L169" s="132" t="s">
        <v>311</v>
      </c>
      <c r="M169" s="806"/>
      <c r="N169" s="801"/>
      <c r="O169" s="150"/>
      <c r="P169" s="150"/>
      <c r="AH169" s="42">
        <v>0</v>
      </c>
    </row>
    <row r="170" s="42" customFormat="1" ht="18.75" hidden="1" customHeight="1" spans="1:34">
      <c r="A170" s="80"/>
      <c r="B170" s="80"/>
      <c r="C170" s="784" t="s">
        <v>1168</v>
      </c>
      <c r="D170" s="795"/>
      <c r="E170" s="294"/>
      <c r="F170" s="326"/>
      <c r="G170" s="785"/>
      <c r="H170" s="598"/>
      <c r="I170" s="331" t="s">
        <v>1167</v>
      </c>
      <c r="J170" s="775"/>
      <c r="K170" s="598"/>
      <c r="L170" s="577"/>
      <c r="M170" s="806"/>
      <c r="N170" s="801"/>
      <c r="O170" s="150"/>
      <c r="P170" s="150"/>
      <c r="AH170" s="42">
        <v>0</v>
      </c>
    </row>
    <row r="171" s="42" customFormat="1" ht="0.75" hidden="1" customHeight="1" spans="1:34">
      <c r="A171" s="80"/>
      <c r="B171" s="80"/>
      <c r="C171" s="784" t="s">
        <v>1175</v>
      </c>
      <c r="D171" s="795"/>
      <c r="E171" s="294"/>
      <c r="F171" s="326"/>
      <c r="G171" s="794"/>
      <c r="H171" s="598"/>
      <c r="I171" s="331"/>
      <c r="J171" s="775"/>
      <c r="K171" s="598"/>
      <c r="L171" s="577"/>
      <c r="M171" s="806"/>
      <c r="N171" s="801"/>
      <c r="O171" s="150"/>
      <c r="P171" s="150"/>
      <c r="AH171" s="42">
        <v>0</v>
      </c>
    </row>
    <row r="172" s="42" customFormat="1" ht="18.75" hidden="1" customHeight="1" spans="1:34">
      <c r="A172" s="80" t="s">
        <v>205</v>
      </c>
      <c r="B172" s="80" t="s">
        <v>206</v>
      </c>
      <c r="C172" s="784"/>
      <c r="D172" s="795"/>
      <c r="E172" s="294"/>
      <c r="F172" s="326" t="str">
        <f>INDEX(PT_DIFFERENTIATION_VTAR,MATCH(A172,PT_DIFFERENTIATION_VTAR_ID,0))</f>
        <v>Плата за подключение (технологическое присоединение) к системе теплоснабжения (индивидуальная)</v>
      </c>
      <c r="G172" s="785" t="str">
        <f>INDEX(PT_DIFFERENTIATION_NTAR,MATCH(B172,PT_DIFFERENTIATION_NTAR_ID,0))</f>
        <v/>
      </c>
      <c r="H172" s="132"/>
      <c r="I172" s="798"/>
      <c r="J172" s="799"/>
      <c r="K172" s="262"/>
      <c r="L172" s="132" t="s">
        <v>311</v>
      </c>
      <c r="M172" s="806"/>
      <c r="N172" s="801"/>
      <c r="O172" s="150"/>
      <c r="P172" s="150"/>
      <c r="AH172" s="42">
        <v>0</v>
      </c>
    </row>
    <row r="173" s="42" customFormat="1" ht="18.75" hidden="1" customHeight="1" spans="1:34">
      <c r="A173" s="80"/>
      <c r="B173" s="80"/>
      <c r="C173" s="784" t="s">
        <v>1168</v>
      </c>
      <c r="D173" s="795"/>
      <c r="E173" s="294"/>
      <c r="F173" s="326"/>
      <c r="G173" s="785"/>
      <c r="H173" s="598"/>
      <c r="I173" s="331" t="s">
        <v>1167</v>
      </c>
      <c r="J173" s="775"/>
      <c r="K173" s="598"/>
      <c r="L173" s="577"/>
      <c r="M173" s="806"/>
      <c r="N173" s="801"/>
      <c r="O173" s="150"/>
      <c r="P173" s="150"/>
      <c r="AH173" s="42">
        <v>0</v>
      </c>
    </row>
    <row r="174" s="42" customFormat="1" ht="0.75" hidden="1" customHeight="1" spans="1:34">
      <c r="A174" s="80"/>
      <c r="B174" s="80"/>
      <c r="C174" s="784" t="s">
        <v>1175</v>
      </c>
      <c r="D174" s="795"/>
      <c r="E174" s="294"/>
      <c r="F174" s="326"/>
      <c r="G174" s="794"/>
      <c r="H174" s="598"/>
      <c r="I174" s="331"/>
      <c r="J174" s="775"/>
      <c r="K174" s="598"/>
      <c r="L174" s="577"/>
      <c r="M174" s="806"/>
      <c r="N174" s="801"/>
      <c r="O174" s="150"/>
      <c r="P174" s="150"/>
      <c r="AH174" s="42">
        <v>0</v>
      </c>
    </row>
    <row r="175" s="42" customFormat="1" ht="18.75" hidden="1" customHeight="1" spans="1:34">
      <c r="A175" s="80" t="s">
        <v>225</v>
      </c>
      <c r="B175" s="80" t="s">
        <v>226</v>
      </c>
      <c r="C175" s="784"/>
      <c r="D175" s="795"/>
      <c r="E175" s="294"/>
      <c r="F175" s="326" t="str">
        <f>INDEX(PT_DIFFERENTIATION_VTAR,MATCH(A175,PT_DIFFERENTIATION_VTAR_ID,0))</f>
        <v>Тариф на питьевую воду (питьевое водоснабжение)</v>
      </c>
      <c r="G175" s="785" t="str">
        <f>INDEX(PT_DIFFERENTIATION_NTAR,MATCH(B175,PT_DIFFERENTIATION_NTAR_ID,0))</f>
        <v/>
      </c>
      <c r="H175" s="132"/>
      <c r="I175" s="798"/>
      <c r="J175" s="799"/>
      <c r="K175" s="262"/>
      <c r="L175" s="132" t="s">
        <v>311</v>
      </c>
      <c r="M175" s="806"/>
      <c r="N175" s="801"/>
      <c r="O175" s="150"/>
      <c r="P175" s="150"/>
      <c r="AH175" s="42">
        <v>0</v>
      </c>
    </row>
    <row r="176" s="42" customFormat="1" ht="18.75" hidden="1" customHeight="1" spans="1:34">
      <c r="A176" s="80"/>
      <c r="B176" s="80"/>
      <c r="C176" s="784" t="s">
        <v>1168</v>
      </c>
      <c r="D176" s="795"/>
      <c r="E176" s="294"/>
      <c r="F176" s="326"/>
      <c r="G176" s="785"/>
      <c r="H176" s="598"/>
      <c r="I176" s="331" t="s">
        <v>1167</v>
      </c>
      <c r="J176" s="775"/>
      <c r="K176" s="598"/>
      <c r="L176" s="577"/>
      <c r="M176" s="806"/>
      <c r="N176" s="801"/>
      <c r="O176" s="150"/>
      <c r="P176" s="150"/>
      <c r="AH176" s="42">
        <v>0</v>
      </c>
    </row>
    <row r="177" s="42" customFormat="1" ht="0.75" hidden="1" customHeight="1" spans="1:34">
      <c r="A177" s="80"/>
      <c r="B177" s="80"/>
      <c r="C177" s="784" t="s">
        <v>1175</v>
      </c>
      <c r="D177" s="795"/>
      <c r="E177" s="294"/>
      <c r="F177" s="326"/>
      <c r="G177" s="794"/>
      <c r="H177" s="598"/>
      <c r="I177" s="331"/>
      <c r="J177" s="775"/>
      <c r="K177" s="598"/>
      <c r="L177" s="577"/>
      <c r="M177" s="806"/>
      <c r="N177" s="801"/>
      <c r="O177" s="150"/>
      <c r="P177" s="150"/>
      <c r="AH177" s="42">
        <v>0</v>
      </c>
    </row>
    <row r="178" s="42" customFormat="1" ht="18.75" hidden="1" customHeight="1" spans="1:34">
      <c r="A178" s="80" t="s">
        <v>230</v>
      </c>
      <c r="B178" s="80" t="s">
        <v>231</v>
      </c>
      <c r="C178" s="784"/>
      <c r="D178" s="795"/>
      <c r="E178" s="294"/>
      <c r="F178" s="326" t="str">
        <f>INDEX(PT_DIFFERENTIATION_VTAR,MATCH(A178,PT_DIFFERENTIATION_VTAR_ID,0))</f>
        <v>Тариф на техническую воду</v>
      </c>
      <c r="G178" s="785" t="str">
        <f>INDEX(PT_DIFFERENTIATION_NTAR,MATCH(B178,PT_DIFFERENTIATION_NTAR_ID,0))</f>
        <v/>
      </c>
      <c r="H178" s="132"/>
      <c r="I178" s="798"/>
      <c r="J178" s="799"/>
      <c r="K178" s="262"/>
      <c r="L178" s="132" t="s">
        <v>311</v>
      </c>
      <c r="M178" s="806"/>
      <c r="N178" s="801"/>
      <c r="O178" s="150"/>
      <c r="P178" s="150"/>
      <c r="AH178" s="42">
        <v>0</v>
      </c>
    </row>
    <row r="179" s="42" customFormat="1" ht="18.75" hidden="1" customHeight="1" spans="1:34">
      <c r="A179" s="80"/>
      <c r="B179" s="80"/>
      <c r="C179" s="784" t="s">
        <v>1168</v>
      </c>
      <c r="D179" s="795"/>
      <c r="E179" s="294"/>
      <c r="F179" s="326"/>
      <c r="G179" s="785"/>
      <c r="H179" s="598"/>
      <c r="I179" s="331" t="s">
        <v>1167</v>
      </c>
      <c r="J179" s="775"/>
      <c r="K179" s="598"/>
      <c r="L179" s="577"/>
      <c r="M179" s="806"/>
      <c r="N179" s="801"/>
      <c r="O179" s="150"/>
      <c r="P179" s="150"/>
      <c r="AH179" s="42">
        <v>0</v>
      </c>
    </row>
    <row r="180" s="42" customFormat="1" ht="0.75" hidden="1" customHeight="1" spans="1:34">
      <c r="A180" s="80"/>
      <c r="B180" s="80"/>
      <c r="C180" s="784" t="s">
        <v>1175</v>
      </c>
      <c r="D180" s="795"/>
      <c r="E180" s="294"/>
      <c r="F180" s="326"/>
      <c r="G180" s="794"/>
      <c r="H180" s="598"/>
      <c r="I180" s="331"/>
      <c r="J180" s="775"/>
      <c r="K180" s="598"/>
      <c r="L180" s="577"/>
      <c r="M180" s="806"/>
      <c r="N180" s="801"/>
      <c r="O180" s="150"/>
      <c r="P180" s="150"/>
      <c r="AH180" s="42">
        <v>0</v>
      </c>
    </row>
    <row r="181" s="42" customFormat="1" ht="18.75" hidden="1" customHeight="1" spans="1:34">
      <c r="A181" s="80" t="s">
        <v>235</v>
      </c>
      <c r="B181" s="80" t="s">
        <v>236</v>
      </c>
      <c r="C181" s="784"/>
      <c r="D181" s="795"/>
      <c r="E181" s="294"/>
      <c r="F181" s="326" t="str">
        <f>INDEX(PT_DIFFERENTIATION_VTAR,MATCH(A181,PT_DIFFERENTIATION_VTAR_ID,0))</f>
        <v>Тариф на транспортировку воды</v>
      </c>
      <c r="G181" s="785" t="str">
        <f>INDEX(PT_DIFFERENTIATION_NTAR,MATCH(B181,PT_DIFFERENTIATION_NTAR_ID,0))</f>
        <v/>
      </c>
      <c r="H181" s="132"/>
      <c r="I181" s="798"/>
      <c r="J181" s="799"/>
      <c r="K181" s="262"/>
      <c r="L181" s="132" t="s">
        <v>311</v>
      </c>
      <c r="M181" s="806"/>
      <c r="N181" s="801"/>
      <c r="O181" s="150"/>
      <c r="P181" s="150"/>
      <c r="AH181" s="42">
        <v>0</v>
      </c>
    </row>
    <row r="182" s="42" customFormat="1" ht="18.75" hidden="1" customHeight="1" spans="1:34">
      <c r="A182" s="80"/>
      <c r="B182" s="80"/>
      <c r="C182" s="784" t="s">
        <v>1168</v>
      </c>
      <c r="D182" s="795"/>
      <c r="E182" s="294"/>
      <c r="F182" s="326"/>
      <c r="G182" s="785"/>
      <c r="H182" s="598"/>
      <c r="I182" s="331" t="s">
        <v>1167</v>
      </c>
      <c r="J182" s="775"/>
      <c r="K182" s="598"/>
      <c r="L182" s="577"/>
      <c r="M182" s="806"/>
      <c r="N182" s="801"/>
      <c r="O182" s="150"/>
      <c r="P182" s="150"/>
      <c r="AH182" s="42">
        <v>0</v>
      </c>
    </row>
    <row r="183" s="42" customFormat="1" ht="0.75" hidden="1" customHeight="1" spans="1:34">
      <c r="A183" s="80"/>
      <c r="B183" s="80"/>
      <c r="C183" s="784" t="s">
        <v>1175</v>
      </c>
      <c r="D183" s="795"/>
      <c r="E183" s="294"/>
      <c r="F183" s="326"/>
      <c r="G183" s="794"/>
      <c r="H183" s="598"/>
      <c r="I183" s="331"/>
      <c r="J183" s="775"/>
      <c r="K183" s="598"/>
      <c r="L183" s="577"/>
      <c r="M183" s="806"/>
      <c r="N183" s="801"/>
      <c r="O183" s="150"/>
      <c r="P183" s="150"/>
      <c r="AH183" s="42">
        <v>0</v>
      </c>
    </row>
    <row r="184" s="42" customFormat="1" ht="18.75" hidden="1" customHeight="1" spans="1:34">
      <c r="A184" s="80" t="s">
        <v>240</v>
      </c>
      <c r="B184" s="80" t="s">
        <v>241</v>
      </c>
      <c r="C184" s="784"/>
      <c r="D184" s="795"/>
      <c r="E184" s="294"/>
      <c r="F184" s="326" t="str">
        <f>INDEX(PT_DIFFERENTIATION_VTAR,MATCH(A184,PT_DIFFERENTIATION_VTAR_ID,0))</f>
        <v>Тариф на подвоз воды</v>
      </c>
      <c r="G184" s="785" t="str">
        <f>INDEX(PT_DIFFERENTIATION_NTAR,MATCH(B184,PT_DIFFERENTIATION_NTAR_ID,0))</f>
        <v/>
      </c>
      <c r="H184" s="132"/>
      <c r="I184" s="798"/>
      <c r="J184" s="799"/>
      <c r="K184" s="262"/>
      <c r="L184" s="132" t="s">
        <v>311</v>
      </c>
      <c r="M184" s="806"/>
      <c r="N184" s="801"/>
      <c r="O184" s="150"/>
      <c r="P184" s="150"/>
      <c r="AH184" s="42">
        <v>0</v>
      </c>
    </row>
    <row r="185" s="42" customFormat="1" ht="18.75" hidden="1" customHeight="1" spans="1:34">
      <c r="A185" s="80"/>
      <c r="B185" s="80"/>
      <c r="C185" s="784" t="s">
        <v>1168</v>
      </c>
      <c r="D185" s="795"/>
      <c r="E185" s="294"/>
      <c r="F185" s="326"/>
      <c r="G185" s="785"/>
      <c r="H185" s="598"/>
      <c r="I185" s="331" t="s">
        <v>1167</v>
      </c>
      <c r="J185" s="775"/>
      <c r="K185" s="598"/>
      <c r="L185" s="577"/>
      <c r="M185" s="806"/>
      <c r="N185" s="801"/>
      <c r="O185" s="150"/>
      <c r="P185" s="150"/>
      <c r="AH185" s="42">
        <v>0</v>
      </c>
    </row>
    <row r="186" s="42" customFormat="1" ht="0.75" hidden="1" customHeight="1" spans="1:34">
      <c r="A186" s="80"/>
      <c r="B186" s="80"/>
      <c r="C186" s="784" t="s">
        <v>1175</v>
      </c>
      <c r="D186" s="795"/>
      <c r="E186" s="294"/>
      <c r="F186" s="326"/>
      <c r="G186" s="794"/>
      <c r="H186" s="598"/>
      <c r="I186" s="331"/>
      <c r="J186" s="775"/>
      <c r="K186" s="598"/>
      <c r="L186" s="577"/>
      <c r="M186" s="806"/>
      <c r="N186" s="801"/>
      <c r="O186" s="150"/>
      <c r="P186" s="150"/>
      <c r="AH186" s="42">
        <v>0</v>
      </c>
    </row>
    <row r="187" s="42" customFormat="1" ht="18.75" hidden="1" customHeight="1" spans="1:34">
      <c r="A187" s="80" t="s">
        <v>247</v>
      </c>
      <c r="B187" s="80" t="s">
        <v>248</v>
      </c>
      <c r="C187" s="784"/>
      <c r="D187" s="795"/>
      <c r="E187" s="294"/>
      <c r="F187" s="32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785" t="str">
        <f>INDEX(PT_DIFFERENTIATION_NTAR,MATCH(B187,PT_DIFFERENTIATION_NTAR_ID,0))</f>
        <v>Подключение (технологическое присоединение) к централизованной системе водоснабжения
</v>
      </c>
      <c r="H187" s="132"/>
      <c r="I187" s="798"/>
      <c r="J187" s="799"/>
      <c r="K187" s="262"/>
      <c r="L187" s="132" t="s">
        <v>311</v>
      </c>
      <c r="M187" s="806"/>
      <c r="N187" s="801"/>
      <c r="O187" s="150"/>
      <c r="P187" s="150"/>
      <c r="AH187" s="42">
        <v>0</v>
      </c>
    </row>
    <row r="188" s="42" customFormat="1" ht="18.75" hidden="1" customHeight="1" spans="1:34">
      <c r="A188" s="80"/>
      <c r="B188" s="80"/>
      <c r="C188" s="784" t="s">
        <v>1168</v>
      </c>
      <c r="D188" s="795"/>
      <c r="E188" s="294"/>
      <c r="F188" s="326"/>
      <c r="G188" s="785"/>
      <c r="H188" s="598"/>
      <c r="I188" s="331" t="s">
        <v>1167</v>
      </c>
      <c r="J188" s="775"/>
      <c r="K188" s="598"/>
      <c r="L188" s="577"/>
      <c r="M188" s="806"/>
      <c r="N188" s="801"/>
      <c r="O188" s="150"/>
      <c r="P188" s="150"/>
      <c r="AH188" s="42">
        <v>0</v>
      </c>
    </row>
    <row r="189" s="42" customFormat="1" ht="0.75" hidden="1" customHeight="1" spans="1:34">
      <c r="A189" s="80"/>
      <c r="B189" s="80"/>
      <c r="C189" s="784" t="s">
        <v>1175</v>
      </c>
      <c r="D189" s="795"/>
      <c r="E189" s="294"/>
      <c r="F189" s="326"/>
      <c r="G189" s="794"/>
      <c r="H189" s="598"/>
      <c r="I189" s="331"/>
      <c r="J189" s="775"/>
      <c r="K189" s="598"/>
      <c r="L189" s="577"/>
      <c r="M189" s="806"/>
      <c r="N189" s="801"/>
      <c r="O189" s="150"/>
      <c r="P189" s="150"/>
      <c r="AH189" s="42">
        <v>0</v>
      </c>
    </row>
    <row r="190" s="42" customFormat="1" ht="18.75" hidden="1" customHeight="1" spans="1:34">
      <c r="A190" s="80" t="s">
        <v>255</v>
      </c>
      <c r="B190" s="80" t="s">
        <v>256</v>
      </c>
      <c r="C190" s="784"/>
      <c r="D190" s="795"/>
      <c r="E190" s="294"/>
      <c r="F190" s="326" t="str">
        <f>INDEX(PT_DIFFERENTIATION_VTAR,MATCH(A190,PT_DIFFERENTIATION_VTAR_ID,0))</f>
        <v>Тариф на горячую воду (горячее водоснабжение)</v>
      </c>
      <c r="G190" s="785" t="str">
        <f>INDEX(PT_DIFFERENTIATION_NTAR,MATCH(B190,PT_DIFFERENTIATION_NTAR_ID,0))</f>
        <v/>
      </c>
      <c r="H190" s="132"/>
      <c r="I190" s="798"/>
      <c r="J190" s="799"/>
      <c r="K190" s="262"/>
      <c r="L190" s="132" t="s">
        <v>311</v>
      </c>
      <c r="M190" s="806"/>
      <c r="N190" s="801"/>
      <c r="O190" s="150"/>
      <c r="P190" s="150"/>
      <c r="AH190" s="42">
        <v>0</v>
      </c>
    </row>
    <row r="191" s="42" customFormat="1" ht="18.75" hidden="1" customHeight="1" spans="1:34">
      <c r="A191" s="80"/>
      <c r="B191" s="80"/>
      <c r="C191" s="784" t="s">
        <v>1168</v>
      </c>
      <c r="D191" s="795"/>
      <c r="E191" s="294"/>
      <c r="F191" s="326"/>
      <c r="G191" s="785"/>
      <c r="H191" s="598"/>
      <c r="I191" s="331" t="s">
        <v>1167</v>
      </c>
      <c r="J191" s="775"/>
      <c r="K191" s="598"/>
      <c r="L191" s="577"/>
      <c r="M191" s="806"/>
      <c r="N191" s="801"/>
      <c r="O191" s="150"/>
      <c r="P191" s="150"/>
      <c r="AH191" s="42">
        <v>0</v>
      </c>
    </row>
    <row r="192" s="42" customFormat="1" ht="0.75" hidden="1" customHeight="1" spans="1:34">
      <c r="A192" s="80"/>
      <c r="B192" s="80"/>
      <c r="C192" s="784" t="s">
        <v>1175</v>
      </c>
      <c r="D192" s="795"/>
      <c r="E192" s="294"/>
      <c r="F192" s="326"/>
      <c r="G192" s="794"/>
      <c r="H192" s="598"/>
      <c r="I192" s="331"/>
      <c r="J192" s="775"/>
      <c r="K192" s="598"/>
      <c r="L192" s="577"/>
      <c r="M192" s="806"/>
      <c r="N192" s="801"/>
      <c r="O192" s="150"/>
      <c r="P192" s="150"/>
      <c r="AH192" s="42">
        <v>0</v>
      </c>
    </row>
    <row r="193" s="42" customFormat="1" ht="18.75" hidden="1" customHeight="1" spans="1:34">
      <c r="A193" s="80" t="s">
        <v>260</v>
      </c>
      <c r="B193" s="80" t="s">
        <v>261</v>
      </c>
      <c r="C193" s="784"/>
      <c r="D193" s="795"/>
      <c r="E193" s="294"/>
      <c r="F193" s="326" t="str">
        <f>INDEX(PT_DIFFERENTIATION_VTAR,MATCH(A193,PT_DIFFERENTIATION_VTAR_ID,0))</f>
        <v>Тариф на транспортировку горячей воды</v>
      </c>
      <c r="G193" s="785" t="str">
        <f>INDEX(PT_DIFFERENTIATION_NTAR,MATCH(B193,PT_DIFFERENTIATION_NTAR_ID,0))</f>
        <v/>
      </c>
      <c r="H193" s="132"/>
      <c r="I193" s="798"/>
      <c r="J193" s="799"/>
      <c r="K193" s="262"/>
      <c r="L193" s="132" t="s">
        <v>311</v>
      </c>
      <c r="M193" s="806"/>
      <c r="N193" s="801"/>
      <c r="O193" s="150"/>
      <c r="P193" s="150"/>
      <c r="AH193" s="42">
        <v>0</v>
      </c>
    </row>
    <row r="194" s="42" customFormat="1" ht="18.75" hidden="1" customHeight="1" spans="1:34">
      <c r="A194" s="80"/>
      <c r="B194" s="80"/>
      <c r="C194" s="784" t="s">
        <v>1168</v>
      </c>
      <c r="D194" s="795"/>
      <c r="E194" s="294"/>
      <c r="F194" s="326"/>
      <c r="G194" s="785"/>
      <c r="H194" s="598"/>
      <c r="I194" s="331" t="s">
        <v>1167</v>
      </c>
      <c r="J194" s="775"/>
      <c r="K194" s="598"/>
      <c r="L194" s="577"/>
      <c r="M194" s="806"/>
      <c r="N194" s="801"/>
      <c r="O194" s="150"/>
      <c r="P194" s="150"/>
      <c r="AH194" s="42">
        <v>0</v>
      </c>
    </row>
    <row r="195" s="42" customFormat="1" ht="0.75" hidden="1" customHeight="1" spans="1:34">
      <c r="A195" s="80"/>
      <c r="B195" s="80"/>
      <c r="C195" s="784" t="s">
        <v>1175</v>
      </c>
      <c r="D195" s="795"/>
      <c r="E195" s="294"/>
      <c r="F195" s="326"/>
      <c r="G195" s="794"/>
      <c r="H195" s="598"/>
      <c r="I195" s="331"/>
      <c r="J195" s="775"/>
      <c r="K195" s="598"/>
      <c r="L195" s="577"/>
      <c r="M195" s="806"/>
      <c r="N195" s="801"/>
      <c r="O195" s="150"/>
      <c r="P195" s="150"/>
      <c r="AH195" s="42">
        <v>0</v>
      </c>
    </row>
    <row r="196" s="42" customFormat="1" ht="18.75" hidden="1" customHeight="1" spans="1:34">
      <c r="A196" s="80" t="s">
        <v>265</v>
      </c>
      <c r="B196" s="80" t="s">
        <v>266</v>
      </c>
      <c r="C196" s="784"/>
      <c r="D196" s="795"/>
      <c r="E196" s="294"/>
      <c r="F196" s="326" t="str">
        <f>INDEX(PT_DIFFERENTIATION_VTAR,MATCH(A196,PT_DIFFERENTIATION_VTAR_ID,0))</f>
        <v>Тариф на подключение (технологическое присоединение) к централизованной системе горячего водоснабжения</v>
      </c>
      <c r="G196" s="785" t="str">
        <f>INDEX(PT_DIFFERENTIATION_NTAR,MATCH(B196,PT_DIFFERENTIATION_NTAR_ID,0))</f>
        <v/>
      </c>
      <c r="H196" s="132"/>
      <c r="I196" s="798"/>
      <c r="J196" s="799"/>
      <c r="K196" s="262"/>
      <c r="L196" s="132" t="s">
        <v>311</v>
      </c>
      <c r="M196" s="806"/>
      <c r="N196" s="801"/>
      <c r="O196" s="150"/>
      <c r="P196" s="150"/>
      <c r="AH196" s="42">
        <v>0</v>
      </c>
    </row>
    <row r="197" s="42" customFormat="1" ht="18.75" hidden="1" customHeight="1" spans="1:34">
      <c r="A197" s="80"/>
      <c r="B197" s="80"/>
      <c r="C197" s="784" t="s">
        <v>1168</v>
      </c>
      <c r="D197" s="795"/>
      <c r="E197" s="294"/>
      <c r="F197" s="326"/>
      <c r="G197" s="785"/>
      <c r="H197" s="598"/>
      <c r="I197" s="331" t="s">
        <v>1167</v>
      </c>
      <c r="J197" s="775"/>
      <c r="K197" s="598"/>
      <c r="L197" s="577"/>
      <c r="M197" s="806"/>
      <c r="N197" s="801"/>
      <c r="O197" s="150"/>
      <c r="P197" s="150"/>
      <c r="AH197" s="42">
        <v>0</v>
      </c>
    </row>
    <row r="198" s="42" customFormat="1" ht="0.75" hidden="1" customHeight="1" spans="1:34">
      <c r="A198" s="80"/>
      <c r="B198" s="80"/>
      <c r="C198" s="784" t="s">
        <v>1175</v>
      </c>
      <c r="D198" s="795"/>
      <c r="E198" s="294"/>
      <c r="F198" s="326"/>
      <c r="G198" s="794"/>
      <c r="H198" s="598"/>
      <c r="I198" s="331"/>
      <c r="J198" s="775"/>
      <c r="K198" s="598"/>
      <c r="L198" s="577"/>
      <c r="M198" s="806"/>
      <c r="N198" s="801"/>
      <c r="O198" s="150"/>
      <c r="P198" s="150"/>
      <c r="AH198" s="42">
        <v>0</v>
      </c>
    </row>
    <row r="199" s="42" customFormat="1" ht="18.75" hidden="1" customHeight="1" spans="1:34">
      <c r="A199" s="80" t="s">
        <v>270</v>
      </c>
      <c r="B199" s="80" t="s">
        <v>271</v>
      </c>
      <c r="C199" s="784"/>
      <c r="D199" s="795"/>
      <c r="E199" s="294"/>
      <c r="F199" s="326" t="str">
        <f>INDEX(PT_DIFFERENTIATION_VTAR,MATCH(A199,PT_DIFFERENTIATION_VTAR_ID,0))</f>
        <v>Тариф на водоотведение</v>
      </c>
      <c r="G199" s="785" t="str">
        <f>INDEX(PT_DIFFERENTIATION_NTAR,MATCH(B199,PT_DIFFERENTIATION_NTAR_ID,0))</f>
        <v/>
      </c>
      <c r="H199" s="132"/>
      <c r="I199" s="798"/>
      <c r="J199" s="799"/>
      <c r="K199" s="262"/>
      <c r="L199" s="132" t="s">
        <v>311</v>
      </c>
      <c r="M199" s="806"/>
      <c r="N199" s="801"/>
      <c r="O199" s="150"/>
      <c r="P199" s="150"/>
      <c r="AH199" s="42">
        <v>0</v>
      </c>
    </row>
    <row r="200" s="42" customFormat="1" ht="18.75" hidden="1" customHeight="1" spans="1:34">
      <c r="A200" s="80"/>
      <c r="B200" s="80"/>
      <c r="C200" s="784" t="s">
        <v>1168</v>
      </c>
      <c r="D200" s="795"/>
      <c r="E200" s="294"/>
      <c r="F200" s="326"/>
      <c r="G200" s="785"/>
      <c r="H200" s="598"/>
      <c r="I200" s="331" t="s">
        <v>1167</v>
      </c>
      <c r="J200" s="775"/>
      <c r="K200" s="598"/>
      <c r="L200" s="577"/>
      <c r="M200" s="806"/>
      <c r="N200" s="801"/>
      <c r="O200" s="150"/>
      <c r="P200" s="150"/>
      <c r="AH200" s="42">
        <v>0</v>
      </c>
    </row>
    <row r="201" s="42" customFormat="1" ht="0.75" hidden="1" customHeight="1" spans="1:34">
      <c r="A201" s="80"/>
      <c r="B201" s="80"/>
      <c r="C201" s="784" t="s">
        <v>1175</v>
      </c>
      <c r="D201" s="795"/>
      <c r="E201" s="294"/>
      <c r="F201" s="326"/>
      <c r="G201" s="794"/>
      <c r="H201" s="598"/>
      <c r="I201" s="331"/>
      <c r="J201" s="775"/>
      <c r="K201" s="598"/>
      <c r="L201" s="577"/>
      <c r="M201" s="806"/>
      <c r="N201" s="801"/>
      <c r="O201" s="150"/>
      <c r="P201" s="150"/>
      <c r="AH201" s="42">
        <v>0</v>
      </c>
    </row>
    <row r="202" s="42" customFormat="1" ht="18.75" hidden="1" customHeight="1" spans="1:34">
      <c r="A202" s="80" t="s">
        <v>275</v>
      </c>
      <c r="B202" s="80" t="s">
        <v>276</v>
      </c>
      <c r="C202" s="784"/>
      <c r="D202" s="795"/>
      <c r="E202" s="294"/>
      <c r="F202" s="326" t="str">
        <f>INDEX(PT_DIFFERENTIATION_VTAR,MATCH(A202,PT_DIFFERENTIATION_VTAR_ID,0))</f>
        <v>Тариф на транспортировку сточных вод</v>
      </c>
      <c r="G202" s="785" t="str">
        <f>INDEX(PT_DIFFERENTIATION_NTAR,MATCH(B202,PT_DIFFERENTIATION_NTAR_ID,0))</f>
        <v/>
      </c>
      <c r="H202" s="132"/>
      <c r="I202" s="798"/>
      <c r="J202" s="799"/>
      <c r="K202" s="262"/>
      <c r="L202" s="132" t="s">
        <v>311</v>
      </c>
      <c r="M202" s="806"/>
      <c r="N202" s="801"/>
      <c r="O202" s="150"/>
      <c r="P202" s="150"/>
      <c r="AH202" s="42">
        <v>0</v>
      </c>
    </row>
    <row r="203" s="42" customFormat="1" ht="18.75" hidden="1" customHeight="1" spans="1:34">
      <c r="A203" s="80"/>
      <c r="B203" s="80"/>
      <c r="C203" s="784" t="s">
        <v>1168</v>
      </c>
      <c r="D203" s="795"/>
      <c r="E203" s="294"/>
      <c r="F203" s="326"/>
      <c r="G203" s="785"/>
      <c r="H203" s="598"/>
      <c r="I203" s="331" t="s">
        <v>1167</v>
      </c>
      <c r="J203" s="775"/>
      <c r="K203" s="598"/>
      <c r="L203" s="577"/>
      <c r="M203" s="806"/>
      <c r="N203" s="801"/>
      <c r="O203" s="150"/>
      <c r="P203" s="150"/>
      <c r="AH203" s="42">
        <v>0</v>
      </c>
    </row>
    <row r="204" s="42" customFormat="1" ht="0.75" hidden="1" customHeight="1" spans="1:34">
      <c r="A204" s="80"/>
      <c r="B204" s="80"/>
      <c r="C204" s="784" t="s">
        <v>1175</v>
      </c>
      <c r="D204" s="795"/>
      <c r="E204" s="294"/>
      <c r="F204" s="326"/>
      <c r="G204" s="794"/>
      <c r="H204" s="598"/>
      <c r="I204" s="331"/>
      <c r="J204" s="775"/>
      <c r="K204" s="598"/>
      <c r="L204" s="577"/>
      <c r="M204" s="806"/>
      <c r="N204" s="801"/>
      <c r="O204" s="150"/>
      <c r="P204" s="150"/>
      <c r="AH204" s="42">
        <v>0</v>
      </c>
    </row>
    <row r="205" s="42" customFormat="1" ht="18.75" hidden="1" customHeight="1" spans="1:34">
      <c r="A205" s="80" t="s">
        <v>280</v>
      </c>
      <c r="B205" s="80" t="s">
        <v>281</v>
      </c>
      <c r="C205" s="784"/>
      <c r="D205" s="795"/>
      <c r="E205" s="294"/>
      <c r="F205" s="326" t="str">
        <f>INDEX(PT_DIFFERENTIATION_VTAR,MATCH(A205,PT_DIFFERENTIATION_VTAR_ID,0))</f>
        <v>Тариф на подключение (технологическое присоединение) к централизованной системе водоотведения</v>
      </c>
      <c r="G205" s="785" t="str">
        <f>INDEX(PT_DIFFERENTIATION_NTAR,MATCH(B205,PT_DIFFERENTIATION_NTAR_ID,0))</f>
        <v/>
      </c>
      <c r="H205" s="132"/>
      <c r="I205" s="798"/>
      <c r="J205" s="799"/>
      <c r="K205" s="262"/>
      <c r="L205" s="132" t="s">
        <v>311</v>
      </c>
      <c r="M205" s="806"/>
      <c r="N205" s="801"/>
      <c r="O205" s="150"/>
      <c r="P205" s="150"/>
      <c r="AH205" s="42">
        <v>0</v>
      </c>
    </row>
    <row r="206" s="42" customFormat="1" ht="18.75" hidden="1" customHeight="1" spans="1:34">
      <c r="A206" s="80"/>
      <c r="B206" s="80"/>
      <c r="C206" s="784" t="s">
        <v>1168</v>
      </c>
      <c r="D206" s="795"/>
      <c r="E206" s="294"/>
      <c r="F206" s="326"/>
      <c r="G206" s="785"/>
      <c r="H206" s="598"/>
      <c r="I206" s="331" t="s">
        <v>1167</v>
      </c>
      <c r="J206" s="775"/>
      <c r="K206" s="598"/>
      <c r="L206" s="577"/>
      <c r="M206" s="806"/>
      <c r="N206" s="801"/>
      <c r="O206" s="150"/>
      <c r="P206" s="150"/>
      <c r="AH206" s="42">
        <v>0</v>
      </c>
    </row>
    <row r="207" s="42" customFormat="1" ht="1.05" customHeight="1" spans="1:34">
      <c r="A207" s="80"/>
      <c r="B207" s="80"/>
      <c r="C207" s="784" t="s">
        <v>1175</v>
      </c>
      <c r="D207" s="795"/>
      <c r="E207" s="294"/>
      <c r="F207" s="326"/>
      <c r="G207" s="794"/>
      <c r="H207" s="598"/>
      <c r="I207" s="331"/>
      <c r="J207" s="775"/>
      <c r="K207" s="598"/>
      <c r="L207" s="577"/>
      <c r="M207" s="806"/>
      <c r="N207" s="801"/>
      <c r="O207" s="150"/>
      <c r="P207" s="150"/>
      <c r="AH207" s="42">
        <v>1</v>
      </c>
    </row>
    <row r="208" ht="27.3" customHeight="1" spans="1:34">
      <c r="A208" s="80"/>
      <c r="B208" s="80"/>
      <c r="D208" s="50"/>
      <c r="E208" s="294" t="s">
        <v>113</v>
      </c>
      <c r="F208" s="4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464"/>
      <c r="H208" s="464"/>
      <c r="I208" s="464"/>
      <c r="J208" s="464"/>
      <c r="K208" s="464"/>
      <c r="L208" s="464"/>
      <c r="M208" s="805"/>
      <c r="N208" s="801"/>
      <c r="AH208" s="42">
        <v>26</v>
      </c>
    </row>
    <row r="209" s="42" customFormat="1" ht="60.75" hidden="1" customHeight="1" spans="1:34">
      <c r="A209" s="80" t="s">
        <v>157</v>
      </c>
      <c r="B209" s="80" t="s">
        <v>158</v>
      </c>
      <c r="C209" s="784"/>
      <c r="D209" s="795"/>
      <c r="E209" s="294"/>
      <c r="F209" s="32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785" t="str">
        <f>INDEX(PT_DIFFERENTIATION_NTAR,MATCH(B209,PT_DIFFERENTIATION_NTAR_ID,0))</f>
        <v/>
      </c>
      <c r="H209" s="132"/>
      <c r="I209" s="798"/>
      <c r="J209" s="799"/>
      <c r="K209" s="262"/>
      <c r="L209" s="132" t="s">
        <v>311</v>
      </c>
      <c r="M209" s="5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801"/>
      <c r="O209" s="150"/>
      <c r="P209" s="150"/>
      <c r="AH209" s="42">
        <v>0</v>
      </c>
    </row>
    <row r="210" s="42" customFormat="1" ht="18.75" hidden="1" customHeight="1" spans="1:34">
      <c r="A210" s="80"/>
      <c r="B210" s="80"/>
      <c r="C210" s="784" t="s">
        <v>1168</v>
      </c>
      <c r="D210" s="795"/>
      <c r="E210" s="294"/>
      <c r="F210" s="326"/>
      <c r="G210" s="785"/>
      <c r="H210" s="598"/>
      <c r="I210" s="331" t="s">
        <v>1167</v>
      </c>
      <c r="J210" s="775"/>
      <c r="K210" s="598"/>
      <c r="L210" s="577"/>
      <c r="M210" s="774"/>
      <c r="N210" s="801"/>
      <c r="O210" s="150"/>
      <c r="P210" s="150"/>
      <c r="AH210" s="42">
        <v>0</v>
      </c>
    </row>
    <row r="211" s="42" customFormat="1" ht="0.75" hidden="1" customHeight="1" spans="1:34">
      <c r="A211" s="80"/>
      <c r="B211" s="80"/>
      <c r="C211" s="784" t="s">
        <v>1175</v>
      </c>
      <c r="D211" s="795"/>
      <c r="E211" s="294"/>
      <c r="F211" s="326"/>
      <c r="G211" s="794"/>
      <c r="H211" s="598"/>
      <c r="I211" s="331"/>
      <c r="J211" s="775"/>
      <c r="K211" s="598"/>
      <c r="L211" s="577"/>
      <c r="M211" s="774"/>
      <c r="N211" s="801"/>
      <c r="O211" s="150"/>
      <c r="P211" s="150"/>
      <c r="AH211" s="42">
        <v>0</v>
      </c>
    </row>
    <row r="212" s="42" customFormat="1" ht="45" hidden="1" customHeight="1" spans="1:34">
      <c r="A212" s="80" t="s">
        <v>162</v>
      </c>
      <c r="B212" s="80" t="s">
        <v>163</v>
      </c>
      <c r="C212" s="784"/>
      <c r="D212" s="795"/>
      <c r="E212" s="294"/>
      <c r="F212" s="326" t="str">
        <f>INDEX(PT_DIFFERENTIATION_VTAR,MATCH(A212,PT_DIFFERENTIATION_VTAR_ID,0))</f>
        <v/>
      </c>
      <c r="G212" s="785" t="str">
        <f>INDEX(PT_DIFFERENTIATION_NTAR,MATCH(B212,PT_DIFFERENTIATION_NTAR_ID,0))</f>
        <v/>
      </c>
      <c r="H212" s="132"/>
      <c r="I212" s="798"/>
      <c r="J212" s="799"/>
      <c r="K212" s="262"/>
      <c r="L212" s="132" t="s">
        <v>311</v>
      </c>
      <c r="M212" s="581"/>
      <c r="N212" s="801"/>
      <c r="O212" s="150"/>
      <c r="P212" s="150"/>
      <c r="AH212" s="42">
        <v>0</v>
      </c>
    </row>
    <row r="213" s="42" customFormat="1" ht="18.75" hidden="1" customHeight="1" spans="1:34">
      <c r="A213" s="80"/>
      <c r="B213" s="80"/>
      <c r="C213" s="784" t="s">
        <v>1168</v>
      </c>
      <c r="D213" s="795"/>
      <c r="E213" s="294"/>
      <c r="F213" s="326"/>
      <c r="G213" s="785"/>
      <c r="H213" s="598"/>
      <c r="I213" s="331" t="s">
        <v>1167</v>
      </c>
      <c r="J213" s="775"/>
      <c r="K213" s="598"/>
      <c r="L213" s="577"/>
      <c r="M213" s="774"/>
      <c r="N213" s="801"/>
      <c r="O213" s="150"/>
      <c r="P213" s="150"/>
      <c r="AH213" s="42">
        <v>0</v>
      </c>
    </row>
    <row r="214" s="42" customFormat="1" ht="0.75" hidden="1" customHeight="1" spans="1:34">
      <c r="A214" s="80"/>
      <c r="B214" s="80"/>
      <c r="C214" s="784" t="s">
        <v>1175</v>
      </c>
      <c r="D214" s="795"/>
      <c r="E214" s="294"/>
      <c r="F214" s="326"/>
      <c r="G214" s="794"/>
      <c r="H214" s="598"/>
      <c r="I214" s="331"/>
      <c r="J214" s="775"/>
      <c r="K214" s="598"/>
      <c r="L214" s="577"/>
      <c r="M214" s="806"/>
      <c r="N214" s="801"/>
      <c r="O214" s="150"/>
      <c r="P214" s="150"/>
      <c r="AH214" s="42">
        <v>0</v>
      </c>
    </row>
    <row r="215" s="42" customFormat="1" ht="45" hidden="1" customHeight="1" spans="1:34">
      <c r="A215" s="80" t="s">
        <v>169</v>
      </c>
      <c r="B215" s="80" t="s">
        <v>170</v>
      </c>
      <c r="C215" s="784"/>
      <c r="D215" s="795"/>
      <c r="E215" s="294"/>
      <c r="F215" s="32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785" t="str">
        <f>INDEX(PT_DIFFERENTIATION_NTAR,MATCH(B215,PT_DIFFERENTIATION_NTAR_ID,0))</f>
        <v/>
      </c>
      <c r="H215" s="132"/>
      <c r="I215" s="798"/>
      <c r="J215" s="799"/>
      <c r="K215" s="262"/>
      <c r="L215" s="132" t="s">
        <v>311</v>
      </c>
      <c r="M215" s="806"/>
      <c r="N215" s="801"/>
      <c r="O215" s="150"/>
      <c r="P215" s="150"/>
      <c r="AH215" s="42">
        <v>0</v>
      </c>
    </row>
    <row r="216" s="42" customFormat="1" ht="18.75" hidden="1" customHeight="1" spans="1:34">
      <c r="A216" s="80"/>
      <c r="B216" s="80"/>
      <c r="C216" s="784" t="s">
        <v>1168</v>
      </c>
      <c r="D216" s="795"/>
      <c r="E216" s="294"/>
      <c r="F216" s="326"/>
      <c r="G216" s="785"/>
      <c r="H216" s="598"/>
      <c r="I216" s="331" t="s">
        <v>1167</v>
      </c>
      <c r="J216" s="775"/>
      <c r="K216" s="598"/>
      <c r="L216" s="577"/>
      <c r="M216" s="806"/>
      <c r="N216" s="801"/>
      <c r="O216" s="150"/>
      <c r="P216" s="150"/>
      <c r="AH216" s="42">
        <v>0</v>
      </c>
    </row>
    <row r="217" s="42" customFormat="1" ht="0.75" hidden="1" customHeight="1" spans="1:34">
      <c r="A217" s="80"/>
      <c r="B217" s="80"/>
      <c r="C217" s="784" t="s">
        <v>1175</v>
      </c>
      <c r="D217" s="795"/>
      <c r="E217" s="294"/>
      <c r="F217" s="326"/>
      <c r="G217" s="794"/>
      <c r="H217" s="598"/>
      <c r="I217" s="331"/>
      <c r="J217" s="775"/>
      <c r="K217" s="598"/>
      <c r="L217" s="577"/>
      <c r="M217" s="806"/>
      <c r="N217" s="801"/>
      <c r="O217" s="150"/>
      <c r="P217" s="150"/>
      <c r="AH217" s="42">
        <v>0</v>
      </c>
    </row>
    <row r="218" s="42" customFormat="1" ht="45" hidden="1" customHeight="1" spans="1:34">
      <c r="A218" s="80" t="s">
        <v>175</v>
      </c>
      <c r="B218" s="80" t="s">
        <v>176</v>
      </c>
      <c r="C218" s="784"/>
      <c r="D218" s="795"/>
      <c r="E218" s="294"/>
      <c r="F218" s="32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785" t="str">
        <f>INDEX(PT_DIFFERENTIATION_NTAR,MATCH(B218,PT_DIFFERENTIATION_NTAR_ID,0))</f>
        <v/>
      </c>
      <c r="H218" s="132"/>
      <c r="I218" s="798"/>
      <c r="J218" s="799"/>
      <c r="K218" s="262"/>
      <c r="L218" s="132" t="s">
        <v>311</v>
      </c>
      <c r="M218" s="806"/>
      <c r="N218" s="801"/>
      <c r="O218" s="150"/>
      <c r="P218" s="150"/>
      <c r="AH218" s="42">
        <v>0</v>
      </c>
    </row>
    <row r="219" s="42" customFormat="1" ht="18.75" hidden="1" customHeight="1" spans="1:34">
      <c r="A219" s="80"/>
      <c r="B219" s="80"/>
      <c r="C219" s="784" t="s">
        <v>1168</v>
      </c>
      <c r="D219" s="795"/>
      <c r="E219" s="294"/>
      <c r="F219" s="326"/>
      <c r="G219" s="785"/>
      <c r="H219" s="598"/>
      <c r="I219" s="331" t="s">
        <v>1167</v>
      </c>
      <c r="J219" s="775"/>
      <c r="K219" s="598"/>
      <c r="L219" s="577"/>
      <c r="M219" s="806"/>
      <c r="N219" s="801"/>
      <c r="O219" s="150"/>
      <c r="P219" s="150"/>
      <c r="AH219" s="42">
        <v>0</v>
      </c>
    </row>
    <row r="220" s="42" customFormat="1" ht="0.75" hidden="1" customHeight="1" spans="1:34">
      <c r="A220" s="80"/>
      <c r="B220" s="80"/>
      <c r="C220" s="784" t="s">
        <v>1175</v>
      </c>
      <c r="D220" s="795"/>
      <c r="E220" s="294"/>
      <c r="F220" s="326"/>
      <c r="G220" s="794"/>
      <c r="H220" s="598"/>
      <c r="I220" s="331"/>
      <c r="J220" s="775"/>
      <c r="K220" s="598"/>
      <c r="L220" s="577"/>
      <c r="M220" s="806"/>
      <c r="N220" s="801"/>
      <c r="O220" s="150"/>
      <c r="P220" s="150"/>
      <c r="AH220" s="42">
        <v>0</v>
      </c>
    </row>
    <row r="221" s="42" customFormat="1" ht="18.75" hidden="1" customHeight="1" spans="1:34">
      <c r="A221" s="80" t="s">
        <v>181</v>
      </c>
      <c r="B221" s="80" t="s">
        <v>182</v>
      </c>
      <c r="C221" s="784"/>
      <c r="D221" s="795"/>
      <c r="E221" s="294"/>
      <c r="F221" s="326" t="str">
        <f>INDEX(PT_DIFFERENTIATION_VTAR,MATCH(A221,PT_DIFFERENTIATION_VTAR_ID,0))</f>
        <v>Тарифы на услуги по передаче тепловой энергии</v>
      </c>
      <c r="G221" s="785" t="str">
        <f>INDEX(PT_DIFFERENTIATION_NTAR,MATCH(B221,PT_DIFFERENTIATION_NTAR_ID,0))</f>
        <v/>
      </c>
      <c r="H221" s="132"/>
      <c r="I221" s="798"/>
      <c r="J221" s="799"/>
      <c r="K221" s="262"/>
      <c r="L221" s="132" t="s">
        <v>311</v>
      </c>
      <c r="M221" s="806"/>
      <c r="N221" s="801"/>
      <c r="O221" s="150"/>
      <c r="P221" s="150"/>
      <c r="AH221" s="42">
        <v>0</v>
      </c>
    </row>
    <row r="222" s="42" customFormat="1" ht="18.75" hidden="1" customHeight="1" spans="1:34">
      <c r="A222" s="80"/>
      <c r="B222" s="80"/>
      <c r="C222" s="784" t="s">
        <v>1168</v>
      </c>
      <c r="D222" s="795"/>
      <c r="E222" s="294"/>
      <c r="F222" s="326"/>
      <c r="G222" s="785"/>
      <c r="H222" s="598"/>
      <c r="I222" s="331" t="s">
        <v>1167</v>
      </c>
      <c r="J222" s="775"/>
      <c r="K222" s="598"/>
      <c r="L222" s="577"/>
      <c r="M222" s="806"/>
      <c r="N222" s="801"/>
      <c r="O222" s="150"/>
      <c r="P222" s="150"/>
      <c r="AH222" s="42">
        <v>0</v>
      </c>
    </row>
    <row r="223" s="42" customFormat="1" ht="0.75" hidden="1" customHeight="1" spans="1:34">
      <c r="A223" s="80"/>
      <c r="B223" s="80"/>
      <c r="C223" s="784" t="s">
        <v>1175</v>
      </c>
      <c r="D223" s="795"/>
      <c r="E223" s="294"/>
      <c r="F223" s="326"/>
      <c r="G223" s="794"/>
      <c r="H223" s="598"/>
      <c r="I223" s="331"/>
      <c r="J223" s="775"/>
      <c r="K223" s="598"/>
      <c r="L223" s="577"/>
      <c r="M223" s="806"/>
      <c r="N223" s="801"/>
      <c r="O223" s="150"/>
      <c r="P223" s="150"/>
      <c r="AH223" s="42">
        <v>0</v>
      </c>
    </row>
    <row r="224" s="42" customFormat="1" ht="18.75" hidden="1" customHeight="1" spans="1:34">
      <c r="A224" s="80" t="s">
        <v>187</v>
      </c>
      <c r="B224" s="80" t="s">
        <v>188</v>
      </c>
      <c r="C224" s="784"/>
      <c r="D224" s="795"/>
      <c r="E224" s="294"/>
      <c r="F224" s="326" t="str">
        <f>INDEX(PT_DIFFERENTIATION_VTAR,MATCH(A224,PT_DIFFERENTIATION_VTAR_ID,0))</f>
        <v>Тарифы на услуги по передаче теплоносителя</v>
      </c>
      <c r="G224" s="785" t="str">
        <f>INDEX(PT_DIFFERENTIATION_NTAR,MATCH(B224,PT_DIFFERENTIATION_NTAR_ID,0))</f>
        <v/>
      </c>
      <c r="H224" s="132"/>
      <c r="I224" s="798"/>
      <c r="J224" s="799"/>
      <c r="K224" s="262"/>
      <c r="L224" s="132" t="s">
        <v>311</v>
      </c>
      <c r="M224" s="806"/>
      <c r="N224" s="801"/>
      <c r="O224" s="150"/>
      <c r="P224" s="150"/>
      <c r="AH224" s="42">
        <v>0</v>
      </c>
    </row>
    <row r="225" s="42" customFormat="1" ht="18.75" hidden="1" customHeight="1" spans="1:34">
      <c r="A225" s="80"/>
      <c r="B225" s="80"/>
      <c r="C225" s="784" t="s">
        <v>1168</v>
      </c>
      <c r="D225" s="795"/>
      <c r="E225" s="294"/>
      <c r="F225" s="326"/>
      <c r="G225" s="785"/>
      <c r="H225" s="598"/>
      <c r="I225" s="331" t="s">
        <v>1167</v>
      </c>
      <c r="J225" s="775"/>
      <c r="K225" s="598"/>
      <c r="L225" s="577"/>
      <c r="M225" s="806"/>
      <c r="N225" s="801"/>
      <c r="O225" s="150"/>
      <c r="P225" s="150"/>
      <c r="AH225" s="42">
        <v>0</v>
      </c>
    </row>
    <row r="226" s="42" customFormat="1" ht="0.75" hidden="1" customHeight="1" spans="1:34">
      <c r="A226" s="80"/>
      <c r="B226" s="80"/>
      <c r="C226" s="784" t="s">
        <v>1175</v>
      </c>
      <c r="D226" s="795"/>
      <c r="E226" s="294"/>
      <c r="F226" s="326"/>
      <c r="G226" s="794"/>
      <c r="H226" s="598"/>
      <c r="I226" s="331"/>
      <c r="J226" s="775"/>
      <c r="K226" s="598"/>
      <c r="L226" s="577"/>
      <c r="M226" s="806"/>
      <c r="N226" s="801"/>
      <c r="O226" s="150"/>
      <c r="P226" s="150"/>
      <c r="AH226" s="42">
        <v>0</v>
      </c>
    </row>
    <row r="227" s="42" customFormat="1" ht="18.75" hidden="1" customHeight="1" spans="1:34">
      <c r="A227" s="80" t="s">
        <v>193</v>
      </c>
      <c r="B227" s="80" t="s">
        <v>194</v>
      </c>
      <c r="C227" s="784"/>
      <c r="D227" s="795"/>
      <c r="E227" s="294"/>
      <c r="F227" s="32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785" t="str">
        <f>INDEX(PT_DIFFERENTIATION_NTAR,MATCH(B227,PT_DIFFERENTIATION_NTAR_ID,0))</f>
        <v/>
      </c>
      <c r="H227" s="132"/>
      <c r="I227" s="798"/>
      <c r="J227" s="799"/>
      <c r="K227" s="262"/>
      <c r="L227" s="132" t="s">
        <v>311</v>
      </c>
      <c r="M227" s="806"/>
      <c r="N227" s="801"/>
      <c r="O227" s="150"/>
      <c r="P227" s="150"/>
      <c r="AH227" s="42">
        <v>0</v>
      </c>
    </row>
    <row r="228" s="42" customFormat="1" ht="18.75" hidden="1" customHeight="1" spans="1:34">
      <c r="A228" s="80"/>
      <c r="B228" s="80"/>
      <c r="C228" s="784" t="s">
        <v>1168</v>
      </c>
      <c r="D228" s="795"/>
      <c r="E228" s="294"/>
      <c r="F228" s="326"/>
      <c r="G228" s="785"/>
      <c r="H228" s="598"/>
      <c r="I228" s="331" t="s">
        <v>1167</v>
      </c>
      <c r="J228" s="775"/>
      <c r="K228" s="598"/>
      <c r="L228" s="577"/>
      <c r="M228" s="806"/>
      <c r="N228" s="801"/>
      <c r="O228" s="150"/>
      <c r="P228" s="150"/>
      <c r="AH228" s="42">
        <v>0</v>
      </c>
    </row>
    <row r="229" s="42" customFormat="1" ht="0.75" hidden="1" customHeight="1" spans="1:34">
      <c r="A229" s="80"/>
      <c r="B229" s="80"/>
      <c r="C229" s="784" t="s">
        <v>1175</v>
      </c>
      <c r="D229" s="795"/>
      <c r="E229" s="294"/>
      <c r="F229" s="326"/>
      <c r="G229" s="794"/>
      <c r="H229" s="598"/>
      <c r="I229" s="331"/>
      <c r="J229" s="775"/>
      <c r="K229" s="598"/>
      <c r="L229" s="577"/>
      <c r="M229" s="806"/>
      <c r="N229" s="801"/>
      <c r="O229" s="150"/>
      <c r="P229" s="150"/>
      <c r="AH229" s="42">
        <v>0</v>
      </c>
    </row>
    <row r="230" s="42" customFormat="1" ht="18.75" hidden="1" customHeight="1" spans="1:34">
      <c r="A230" s="80" t="s">
        <v>199</v>
      </c>
      <c r="B230" s="80" t="s">
        <v>200</v>
      </c>
      <c r="C230" s="784"/>
      <c r="D230" s="795"/>
      <c r="E230" s="294"/>
      <c r="F230" s="326" t="str">
        <f>INDEX(PT_DIFFERENTIATION_VTAR,MATCH(A230,PT_DIFFERENTIATION_VTAR_ID,0))</f>
        <v>Плата за подключение (технологическое присоединение) к системе теплоснабжения</v>
      </c>
      <c r="G230" s="785" t="str">
        <f>INDEX(PT_DIFFERENTIATION_NTAR,MATCH(B230,PT_DIFFERENTIATION_NTAR_ID,0))</f>
        <v/>
      </c>
      <c r="H230" s="132"/>
      <c r="I230" s="798"/>
      <c r="J230" s="799"/>
      <c r="K230" s="262"/>
      <c r="L230" s="132" t="s">
        <v>311</v>
      </c>
      <c r="M230" s="806"/>
      <c r="N230" s="801"/>
      <c r="O230" s="150"/>
      <c r="P230" s="150"/>
      <c r="AH230" s="42">
        <v>0</v>
      </c>
    </row>
    <row r="231" s="42" customFormat="1" ht="18.75" hidden="1" customHeight="1" spans="1:34">
      <c r="A231" s="80"/>
      <c r="B231" s="80"/>
      <c r="C231" s="784" t="s">
        <v>1168</v>
      </c>
      <c r="D231" s="795"/>
      <c r="E231" s="294"/>
      <c r="F231" s="326"/>
      <c r="G231" s="785"/>
      <c r="H231" s="598"/>
      <c r="I231" s="331" t="s">
        <v>1167</v>
      </c>
      <c r="J231" s="775"/>
      <c r="K231" s="598"/>
      <c r="L231" s="577"/>
      <c r="M231" s="806"/>
      <c r="N231" s="801"/>
      <c r="O231" s="150"/>
      <c r="P231" s="150"/>
      <c r="AH231" s="42">
        <v>0</v>
      </c>
    </row>
    <row r="232" s="42" customFormat="1" ht="0.75" hidden="1" customHeight="1" spans="1:34">
      <c r="A232" s="80"/>
      <c r="B232" s="80"/>
      <c r="C232" s="784" t="s">
        <v>1175</v>
      </c>
      <c r="D232" s="795"/>
      <c r="E232" s="294"/>
      <c r="F232" s="326"/>
      <c r="G232" s="794"/>
      <c r="H232" s="598"/>
      <c r="I232" s="331"/>
      <c r="J232" s="775"/>
      <c r="K232" s="598"/>
      <c r="L232" s="577"/>
      <c r="M232" s="806"/>
      <c r="N232" s="801"/>
      <c r="O232" s="150"/>
      <c r="P232" s="150"/>
      <c r="AH232" s="42">
        <v>0</v>
      </c>
    </row>
    <row r="233" s="42" customFormat="1" ht="18.75" hidden="1" customHeight="1" spans="1:34">
      <c r="A233" s="80" t="s">
        <v>205</v>
      </c>
      <c r="B233" s="80" t="s">
        <v>206</v>
      </c>
      <c r="C233" s="784"/>
      <c r="D233" s="795"/>
      <c r="E233" s="294"/>
      <c r="F233" s="326" t="str">
        <f>INDEX(PT_DIFFERENTIATION_VTAR,MATCH(A233,PT_DIFFERENTIATION_VTAR_ID,0))</f>
        <v>Плата за подключение (технологическое присоединение) к системе теплоснабжения (индивидуальная)</v>
      </c>
      <c r="G233" s="785" t="str">
        <f>INDEX(PT_DIFFERENTIATION_NTAR,MATCH(B233,PT_DIFFERENTIATION_NTAR_ID,0))</f>
        <v/>
      </c>
      <c r="H233" s="132"/>
      <c r="I233" s="798"/>
      <c r="J233" s="799"/>
      <c r="K233" s="262"/>
      <c r="L233" s="132" t="s">
        <v>311</v>
      </c>
      <c r="M233" s="806"/>
      <c r="N233" s="801"/>
      <c r="O233" s="150"/>
      <c r="P233" s="150"/>
      <c r="AH233" s="42">
        <v>0</v>
      </c>
    </row>
    <row r="234" s="42" customFormat="1" ht="18.75" hidden="1" customHeight="1" spans="1:34">
      <c r="A234" s="80"/>
      <c r="B234" s="80"/>
      <c r="C234" s="784" t="s">
        <v>1168</v>
      </c>
      <c r="D234" s="795"/>
      <c r="E234" s="294"/>
      <c r="F234" s="326"/>
      <c r="G234" s="785"/>
      <c r="H234" s="598"/>
      <c r="I234" s="331" t="s">
        <v>1167</v>
      </c>
      <c r="J234" s="775"/>
      <c r="K234" s="598"/>
      <c r="L234" s="577"/>
      <c r="M234" s="806"/>
      <c r="N234" s="801"/>
      <c r="O234" s="150"/>
      <c r="P234" s="150"/>
      <c r="AH234" s="42">
        <v>0</v>
      </c>
    </row>
    <row r="235" s="42" customFormat="1" ht="0.75" hidden="1" customHeight="1" spans="1:34">
      <c r="A235" s="80"/>
      <c r="B235" s="80"/>
      <c r="C235" s="784" t="s">
        <v>1175</v>
      </c>
      <c r="D235" s="795"/>
      <c r="E235" s="294"/>
      <c r="F235" s="326"/>
      <c r="G235" s="794"/>
      <c r="H235" s="598"/>
      <c r="I235" s="331"/>
      <c r="J235" s="775"/>
      <c r="K235" s="598"/>
      <c r="L235" s="577"/>
      <c r="M235" s="806"/>
      <c r="N235" s="801"/>
      <c r="O235" s="150"/>
      <c r="P235" s="150"/>
      <c r="AH235" s="42">
        <v>0</v>
      </c>
    </row>
    <row r="236" s="42" customFormat="1" ht="18.75" hidden="1" customHeight="1" spans="1:34">
      <c r="A236" s="80" t="s">
        <v>225</v>
      </c>
      <c r="B236" s="80" t="s">
        <v>226</v>
      </c>
      <c r="C236" s="784"/>
      <c r="D236" s="795"/>
      <c r="E236" s="294"/>
      <c r="F236" s="326" t="str">
        <f>INDEX(PT_DIFFERENTIATION_VTAR,MATCH(A236,PT_DIFFERENTIATION_VTAR_ID,0))</f>
        <v>Тариф на питьевую воду (питьевое водоснабжение)</v>
      </c>
      <c r="G236" s="785" t="str">
        <f>INDEX(PT_DIFFERENTIATION_NTAR,MATCH(B236,PT_DIFFERENTIATION_NTAR_ID,0))</f>
        <v/>
      </c>
      <c r="H236" s="132"/>
      <c r="I236" s="798"/>
      <c r="J236" s="799"/>
      <c r="K236" s="262"/>
      <c r="L236" s="132" t="s">
        <v>311</v>
      </c>
      <c r="M236" s="806"/>
      <c r="N236" s="801"/>
      <c r="O236" s="150"/>
      <c r="P236" s="150"/>
      <c r="AH236" s="42">
        <v>0</v>
      </c>
    </row>
    <row r="237" s="42" customFormat="1" ht="18.75" hidden="1" customHeight="1" spans="1:34">
      <c r="A237" s="80"/>
      <c r="B237" s="80"/>
      <c r="C237" s="784" t="s">
        <v>1168</v>
      </c>
      <c r="D237" s="795"/>
      <c r="E237" s="294"/>
      <c r="F237" s="326"/>
      <c r="G237" s="785"/>
      <c r="H237" s="598"/>
      <c r="I237" s="331" t="s">
        <v>1167</v>
      </c>
      <c r="J237" s="775"/>
      <c r="K237" s="598"/>
      <c r="L237" s="577"/>
      <c r="M237" s="806"/>
      <c r="N237" s="801"/>
      <c r="O237" s="150"/>
      <c r="P237" s="150"/>
      <c r="AH237" s="42">
        <v>0</v>
      </c>
    </row>
    <row r="238" s="42" customFormat="1" ht="0.75" hidden="1" customHeight="1" spans="1:34">
      <c r="A238" s="80"/>
      <c r="B238" s="80"/>
      <c r="C238" s="784" t="s">
        <v>1175</v>
      </c>
      <c r="D238" s="795"/>
      <c r="E238" s="294"/>
      <c r="F238" s="326"/>
      <c r="G238" s="794"/>
      <c r="H238" s="598"/>
      <c r="I238" s="331"/>
      <c r="J238" s="775"/>
      <c r="K238" s="598"/>
      <c r="L238" s="577"/>
      <c r="M238" s="806"/>
      <c r="N238" s="801"/>
      <c r="O238" s="150"/>
      <c r="P238" s="150"/>
      <c r="AH238" s="42">
        <v>0</v>
      </c>
    </row>
    <row r="239" s="42" customFormat="1" ht="18.75" hidden="1" customHeight="1" spans="1:34">
      <c r="A239" s="80" t="s">
        <v>230</v>
      </c>
      <c r="B239" s="80" t="s">
        <v>231</v>
      </c>
      <c r="C239" s="784"/>
      <c r="D239" s="795"/>
      <c r="E239" s="294"/>
      <c r="F239" s="326" t="str">
        <f>INDEX(PT_DIFFERENTIATION_VTAR,MATCH(A239,PT_DIFFERENTIATION_VTAR_ID,0))</f>
        <v>Тариф на техническую воду</v>
      </c>
      <c r="G239" s="785" t="str">
        <f>INDEX(PT_DIFFERENTIATION_NTAR,MATCH(B239,PT_DIFFERENTIATION_NTAR_ID,0))</f>
        <v/>
      </c>
      <c r="H239" s="132"/>
      <c r="I239" s="798"/>
      <c r="J239" s="799"/>
      <c r="K239" s="262"/>
      <c r="L239" s="132" t="s">
        <v>311</v>
      </c>
      <c r="M239" s="806"/>
      <c r="N239" s="801"/>
      <c r="O239" s="150"/>
      <c r="P239" s="150"/>
      <c r="AH239" s="42">
        <v>0</v>
      </c>
    </row>
    <row r="240" s="42" customFormat="1" ht="18.75" hidden="1" customHeight="1" spans="1:34">
      <c r="A240" s="80"/>
      <c r="B240" s="80"/>
      <c r="C240" s="784" t="s">
        <v>1168</v>
      </c>
      <c r="D240" s="795"/>
      <c r="E240" s="294"/>
      <c r="F240" s="326"/>
      <c r="G240" s="785"/>
      <c r="H240" s="598"/>
      <c r="I240" s="331" t="s">
        <v>1167</v>
      </c>
      <c r="J240" s="775"/>
      <c r="K240" s="598"/>
      <c r="L240" s="577"/>
      <c r="M240" s="806"/>
      <c r="N240" s="801"/>
      <c r="O240" s="150"/>
      <c r="P240" s="150"/>
      <c r="AH240" s="42">
        <v>0</v>
      </c>
    </row>
    <row r="241" s="42" customFormat="1" ht="0.75" hidden="1" customHeight="1" spans="1:34">
      <c r="A241" s="80"/>
      <c r="B241" s="80"/>
      <c r="C241" s="784" t="s">
        <v>1175</v>
      </c>
      <c r="D241" s="795"/>
      <c r="E241" s="294"/>
      <c r="F241" s="326"/>
      <c r="G241" s="794"/>
      <c r="H241" s="598"/>
      <c r="I241" s="331"/>
      <c r="J241" s="775"/>
      <c r="K241" s="598"/>
      <c r="L241" s="577"/>
      <c r="M241" s="806"/>
      <c r="N241" s="801"/>
      <c r="O241" s="150"/>
      <c r="P241" s="150"/>
      <c r="AH241" s="42">
        <v>0</v>
      </c>
    </row>
    <row r="242" s="42" customFormat="1" ht="18.75" hidden="1" customHeight="1" spans="1:34">
      <c r="A242" s="80" t="s">
        <v>235</v>
      </c>
      <c r="B242" s="80" t="s">
        <v>236</v>
      </c>
      <c r="C242" s="784"/>
      <c r="D242" s="795"/>
      <c r="E242" s="294"/>
      <c r="F242" s="326" t="str">
        <f>INDEX(PT_DIFFERENTIATION_VTAR,MATCH(A242,PT_DIFFERENTIATION_VTAR_ID,0))</f>
        <v>Тариф на транспортировку воды</v>
      </c>
      <c r="G242" s="785" t="str">
        <f>INDEX(PT_DIFFERENTIATION_NTAR,MATCH(B242,PT_DIFFERENTIATION_NTAR_ID,0))</f>
        <v/>
      </c>
      <c r="H242" s="132"/>
      <c r="I242" s="798"/>
      <c r="J242" s="799"/>
      <c r="K242" s="262"/>
      <c r="L242" s="132" t="s">
        <v>311</v>
      </c>
      <c r="M242" s="806"/>
      <c r="N242" s="801"/>
      <c r="O242" s="150"/>
      <c r="P242" s="150"/>
      <c r="AH242" s="42">
        <v>0</v>
      </c>
    </row>
    <row r="243" s="42" customFormat="1" ht="18.75" hidden="1" customHeight="1" spans="1:34">
      <c r="A243" s="80"/>
      <c r="B243" s="80"/>
      <c r="C243" s="784" t="s">
        <v>1168</v>
      </c>
      <c r="D243" s="795"/>
      <c r="E243" s="294"/>
      <c r="F243" s="326"/>
      <c r="G243" s="785"/>
      <c r="H243" s="598"/>
      <c r="I243" s="331" t="s">
        <v>1167</v>
      </c>
      <c r="J243" s="775"/>
      <c r="K243" s="598"/>
      <c r="L243" s="577"/>
      <c r="M243" s="806"/>
      <c r="N243" s="801"/>
      <c r="O243" s="150"/>
      <c r="P243" s="150"/>
      <c r="AH243" s="42">
        <v>0</v>
      </c>
    </row>
    <row r="244" s="42" customFormat="1" ht="0.75" hidden="1" customHeight="1" spans="1:34">
      <c r="A244" s="80"/>
      <c r="B244" s="80"/>
      <c r="C244" s="784" t="s">
        <v>1175</v>
      </c>
      <c r="D244" s="795"/>
      <c r="E244" s="294"/>
      <c r="F244" s="326"/>
      <c r="G244" s="794"/>
      <c r="H244" s="598"/>
      <c r="I244" s="331"/>
      <c r="J244" s="775"/>
      <c r="K244" s="598"/>
      <c r="L244" s="577"/>
      <c r="M244" s="806"/>
      <c r="N244" s="801"/>
      <c r="O244" s="150"/>
      <c r="P244" s="150"/>
      <c r="AH244" s="42">
        <v>0</v>
      </c>
    </row>
    <row r="245" s="42" customFormat="1" ht="18.75" hidden="1" customHeight="1" spans="1:34">
      <c r="A245" s="80" t="s">
        <v>240</v>
      </c>
      <c r="B245" s="80" t="s">
        <v>241</v>
      </c>
      <c r="C245" s="784"/>
      <c r="D245" s="795"/>
      <c r="E245" s="294"/>
      <c r="F245" s="326" t="str">
        <f>INDEX(PT_DIFFERENTIATION_VTAR,MATCH(A245,PT_DIFFERENTIATION_VTAR_ID,0))</f>
        <v>Тариф на подвоз воды</v>
      </c>
      <c r="G245" s="785" t="str">
        <f>INDEX(PT_DIFFERENTIATION_NTAR,MATCH(B245,PT_DIFFERENTIATION_NTAR_ID,0))</f>
        <v/>
      </c>
      <c r="H245" s="132"/>
      <c r="I245" s="798"/>
      <c r="J245" s="799"/>
      <c r="K245" s="262"/>
      <c r="L245" s="132" t="s">
        <v>311</v>
      </c>
      <c r="M245" s="806"/>
      <c r="N245" s="801"/>
      <c r="O245" s="150"/>
      <c r="P245" s="150"/>
      <c r="AH245" s="42">
        <v>0</v>
      </c>
    </row>
    <row r="246" s="42" customFormat="1" ht="18.75" hidden="1" customHeight="1" spans="1:34">
      <c r="A246" s="80"/>
      <c r="B246" s="80"/>
      <c r="C246" s="784" t="s">
        <v>1168</v>
      </c>
      <c r="D246" s="795"/>
      <c r="E246" s="294"/>
      <c r="F246" s="326"/>
      <c r="G246" s="785"/>
      <c r="H246" s="598"/>
      <c r="I246" s="331" t="s">
        <v>1167</v>
      </c>
      <c r="J246" s="775"/>
      <c r="K246" s="598"/>
      <c r="L246" s="577"/>
      <c r="M246" s="806"/>
      <c r="N246" s="801"/>
      <c r="O246" s="150"/>
      <c r="P246" s="150"/>
      <c r="AH246" s="42">
        <v>0</v>
      </c>
    </row>
    <row r="247" s="42" customFormat="1" ht="0.75" hidden="1" customHeight="1" spans="1:34">
      <c r="A247" s="80"/>
      <c r="B247" s="80"/>
      <c r="C247" s="784" t="s">
        <v>1175</v>
      </c>
      <c r="D247" s="795"/>
      <c r="E247" s="294"/>
      <c r="F247" s="326"/>
      <c r="G247" s="794"/>
      <c r="H247" s="598"/>
      <c r="I247" s="331"/>
      <c r="J247" s="775"/>
      <c r="K247" s="598"/>
      <c r="L247" s="577"/>
      <c r="M247" s="806"/>
      <c r="N247" s="801"/>
      <c r="O247" s="150"/>
      <c r="P247" s="150"/>
      <c r="AH247" s="42">
        <v>0</v>
      </c>
    </row>
    <row r="248" s="42" customFormat="1" ht="18.75" hidden="1" customHeight="1" spans="1:34">
      <c r="A248" s="80" t="s">
        <v>247</v>
      </c>
      <c r="B248" s="80" t="s">
        <v>248</v>
      </c>
      <c r="C248" s="784"/>
      <c r="D248" s="795"/>
      <c r="E248" s="294"/>
      <c r="F248" s="32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785" t="str">
        <f>INDEX(PT_DIFFERENTIATION_NTAR,MATCH(B248,PT_DIFFERENTIATION_NTAR_ID,0))</f>
        <v>Подключение (технологическое присоединение) к централизованной системе водоснабжения
</v>
      </c>
      <c r="H248" s="132"/>
      <c r="I248" s="798"/>
      <c r="J248" s="799"/>
      <c r="K248" s="262"/>
      <c r="L248" s="132" t="s">
        <v>311</v>
      </c>
      <c r="M248" s="806"/>
      <c r="N248" s="801"/>
      <c r="O248" s="150"/>
      <c r="P248" s="150"/>
      <c r="AH248" s="42">
        <v>0</v>
      </c>
    </row>
    <row r="249" s="42" customFormat="1" ht="18.75" hidden="1" customHeight="1" spans="1:34">
      <c r="A249" s="80"/>
      <c r="B249" s="80"/>
      <c r="C249" s="784" t="s">
        <v>1168</v>
      </c>
      <c r="D249" s="795"/>
      <c r="E249" s="294"/>
      <c r="F249" s="326"/>
      <c r="G249" s="785"/>
      <c r="H249" s="598"/>
      <c r="I249" s="331" t="s">
        <v>1167</v>
      </c>
      <c r="J249" s="775"/>
      <c r="K249" s="598"/>
      <c r="L249" s="577"/>
      <c r="M249" s="806"/>
      <c r="N249" s="801"/>
      <c r="O249" s="150"/>
      <c r="P249" s="150"/>
      <c r="AH249" s="42">
        <v>0</v>
      </c>
    </row>
    <row r="250" s="42" customFormat="1" ht="0.75" hidden="1" customHeight="1" spans="1:34">
      <c r="A250" s="80"/>
      <c r="B250" s="80"/>
      <c r="C250" s="784" t="s">
        <v>1175</v>
      </c>
      <c r="D250" s="795"/>
      <c r="E250" s="294"/>
      <c r="F250" s="326"/>
      <c r="G250" s="794"/>
      <c r="H250" s="598"/>
      <c r="I250" s="331"/>
      <c r="J250" s="775"/>
      <c r="K250" s="598"/>
      <c r="L250" s="577"/>
      <c r="M250" s="806"/>
      <c r="N250" s="801"/>
      <c r="O250" s="150"/>
      <c r="P250" s="150"/>
      <c r="AH250" s="42">
        <v>0</v>
      </c>
    </row>
    <row r="251" s="42" customFormat="1" ht="18.75" hidden="1" customHeight="1" spans="1:34">
      <c r="A251" s="80" t="s">
        <v>255</v>
      </c>
      <c r="B251" s="80" t="s">
        <v>256</v>
      </c>
      <c r="C251" s="784"/>
      <c r="D251" s="795"/>
      <c r="E251" s="294"/>
      <c r="F251" s="326" t="str">
        <f>INDEX(PT_DIFFERENTIATION_VTAR,MATCH(A251,PT_DIFFERENTIATION_VTAR_ID,0))</f>
        <v>Тариф на горячую воду (горячее водоснабжение)</v>
      </c>
      <c r="G251" s="785" t="str">
        <f>INDEX(PT_DIFFERENTIATION_NTAR,MATCH(B251,PT_DIFFERENTIATION_NTAR_ID,0))</f>
        <v/>
      </c>
      <c r="H251" s="132"/>
      <c r="I251" s="798"/>
      <c r="J251" s="799"/>
      <c r="K251" s="262"/>
      <c r="L251" s="132" t="s">
        <v>311</v>
      </c>
      <c r="M251" s="806"/>
      <c r="N251" s="801"/>
      <c r="O251" s="150"/>
      <c r="P251" s="150"/>
      <c r="AH251" s="42">
        <v>0</v>
      </c>
    </row>
    <row r="252" s="42" customFormat="1" ht="18.75" hidden="1" customHeight="1" spans="1:34">
      <c r="A252" s="80"/>
      <c r="B252" s="80"/>
      <c r="C252" s="784" t="s">
        <v>1168</v>
      </c>
      <c r="D252" s="795"/>
      <c r="E252" s="294"/>
      <c r="F252" s="326"/>
      <c r="G252" s="785"/>
      <c r="H252" s="598"/>
      <c r="I252" s="331" t="s">
        <v>1167</v>
      </c>
      <c r="J252" s="775"/>
      <c r="K252" s="598"/>
      <c r="L252" s="577"/>
      <c r="M252" s="806"/>
      <c r="N252" s="801"/>
      <c r="O252" s="150"/>
      <c r="P252" s="150"/>
      <c r="AH252" s="42">
        <v>0</v>
      </c>
    </row>
    <row r="253" s="42" customFormat="1" ht="0.75" hidden="1" customHeight="1" spans="1:34">
      <c r="A253" s="80"/>
      <c r="B253" s="80"/>
      <c r="C253" s="784" t="s">
        <v>1175</v>
      </c>
      <c r="D253" s="795"/>
      <c r="E253" s="294"/>
      <c r="F253" s="326"/>
      <c r="G253" s="794"/>
      <c r="H253" s="598"/>
      <c r="I253" s="331"/>
      <c r="J253" s="775"/>
      <c r="K253" s="598"/>
      <c r="L253" s="577"/>
      <c r="M253" s="806"/>
      <c r="N253" s="801"/>
      <c r="O253" s="150"/>
      <c r="P253" s="150"/>
      <c r="AH253" s="42">
        <v>0</v>
      </c>
    </row>
    <row r="254" s="42" customFormat="1" ht="18.75" hidden="1" customHeight="1" spans="1:34">
      <c r="A254" s="80" t="s">
        <v>260</v>
      </c>
      <c r="B254" s="80" t="s">
        <v>261</v>
      </c>
      <c r="C254" s="784"/>
      <c r="D254" s="795"/>
      <c r="E254" s="294"/>
      <c r="F254" s="326" t="str">
        <f>INDEX(PT_DIFFERENTIATION_VTAR,MATCH(A254,PT_DIFFERENTIATION_VTAR_ID,0))</f>
        <v>Тариф на транспортировку горячей воды</v>
      </c>
      <c r="G254" s="785" t="str">
        <f>INDEX(PT_DIFFERENTIATION_NTAR,MATCH(B254,PT_DIFFERENTIATION_NTAR_ID,0))</f>
        <v/>
      </c>
      <c r="H254" s="132"/>
      <c r="I254" s="798"/>
      <c r="J254" s="799"/>
      <c r="K254" s="262"/>
      <c r="L254" s="132" t="s">
        <v>311</v>
      </c>
      <c r="M254" s="806"/>
      <c r="N254" s="801"/>
      <c r="O254" s="150"/>
      <c r="P254" s="150"/>
      <c r="AH254" s="42">
        <v>0</v>
      </c>
    </row>
    <row r="255" s="42" customFormat="1" ht="18.75" hidden="1" customHeight="1" spans="1:34">
      <c r="A255" s="80"/>
      <c r="B255" s="80"/>
      <c r="C255" s="784" t="s">
        <v>1168</v>
      </c>
      <c r="D255" s="795"/>
      <c r="E255" s="294"/>
      <c r="F255" s="326"/>
      <c r="G255" s="785"/>
      <c r="H255" s="598"/>
      <c r="I255" s="331" t="s">
        <v>1167</v>
      </c>
      <c r="J255" s="775"/>
      <c r="K255" s="598"/>
      <c r="L255" s="577"/>
      <c r="M255" s="806"/>
      <c r="N255" s="801"/>
      <c r="O255" s="150"/>
      <c r="P255" s="150"/>
      <c r="AH255" s="42">
        <v>0</v>
      </c>
    </row>
    <row r="256" s="42" customFormat="1" ht="0.75" hidden="1" customHeight="1" spans="1:34">
      <c r="A256" s="80"/>
      <c r="B256" s="80"/>
      <c r="C256" s="784" t="s">
        <v>1175</v>
      </c>
      <c r="D256" s="795"/>
      <c r="E256" s="294"/>
      <c r="F256" s="326"/>
      <c r="G256" s="794"/>
      <c r="H256" s="598"/>
      <c r="I256" s="331"/>
      <c r="J256" s="775"/>
      <c r="K256" s="598"/>
      <c r="L256" s="577"/>
      <c r="M256" s="806"/>
      <c r="N256" s="801"/>
      <c r="O256" s="150"/>
      <c r="P256" s="150"/>
      <c r="AH256" s="42">
        <v>0</v>
      </c>
    </row>
    <row r="257" s="42" customFormat="1" ht="18.75" hidden="1" customHeight="1" spans="1:34">
      <c r="A257" s="80" t="s">
        <v>265</v>
      </c>
      <c r="B257" s="80" t="s">
        <v>266</v>
      </c>
      <c r="C257" s="784"/>
      <c r="D257" s="795"/>
      <c r="E257" s="294"/>
      <c r="F257" s="326" t="str">
        <f>INDEX(PT_DIFFERENTIATION_VTAR,MATCH(A257,PT_DIFFERENTIATION_VTAR_ID,0))</f>
        <v>Тариф на подключение (технологическое присоединение) к централизованной системе горячего водоснабжения</v>
      </c>
      <c r="G257" s="785" t="str">
        <f>INDEX(PT_DIFFERENTIATION_NTAR,MATCH(B257,PT_DIFFERENTIATION_NTAR_ID,0))</f>
        <v/>
      </c>
      <c r="H257" s="132"/>
      <c r="I257" s="798"/>
      <c r="J257" s="799"/>
      <c r="K257" s="262"/>
      <c r="L257" s="132" t="s">
        <v>311</v>
      </c>
      <c r="M257" s="806"/>
      <c r="N257" s="801"/>
      <c r="O257" s="150"/>
      <c r="P257" s="150"/>
      <c r="AH257" s="42">
        <v>0</v>
      </c>
    </row>
    <row r="258" s="42" customFormat="1" ht="18.75" hidden="1" customHeight="1" spans="1:34">
      <c r="A258" s="80"/>
      <c r="B258" s="80"/>
      <c r="C258" s="784" t="s">
        <v>1168</v>
      </c>
      <c r="D258" s="795"/>
      <c r="E258" s="294"/>
      <c r="F258" s="326"/>
      <c r="G258" s="785"/>
      <c r="H258" s="598"/>
      <c r="I258" s="331" t="s">
        <v>1167</v>
      </c>
      <c r="J258" s="775"/>
      <c r="K258" s="598"/>
      <c r="L258" s="577"/>
      <c r="M258" s="806"/>
      <c r="N258" s="801"/>
      <c r="O258" s="150"/>
      <c r="P258" s="150"/>
      <c r="AH258" s="42">
        <v>0</v>
      </c>
    </row>
    <row r="259" s="42" customFormat="1" ht="0.75" hidden="1" customHeight="1" spans="1:34">
      <c r="A259" s="80"/>
      <c r="B259" s="80"/>
      <c r="C259" s="784" t="s">
        <v>1175</v>
      </c>
      <c r="D259" s="795"/>
      <c r="E259" s="294"/>
      <c r="F259" s="326"/>
      <c r="G259" s="794"/>
      <c r="H259" s="598"/>
      <c r="I259" s="331"/>
      <c r="J259" s="775"/>
      <c r="K259" s="598"/>
      <c r="L259" s="577"/>
      <c r="M259" s="806"/>
      <c r="N259" s="801"/>
      <c r="O259" s="150"/>
      <c r="P259" s="150"/>
      <c r="AH259" s="42">
        <v>0</v>
      </c>
    </row>
    <row r="260" s="42" customFormat="1" ht="18.75" hidden="1" customHeight="1" spans="1:34">
      <c r="A260" s="80" t="s">
        <v>270</v>
      </c>
      <c r="B260" s="80" t="s">
        <v>271</v>
      </c>
      <c r="C260" s="784"/>
      <c r="D260" s="795"/>
      <c r="E260" s="294"/>
      <c r="F260" s="326" t="str">
        <f>INDEX(PT_DIFFERENTIATION_VTAR,MATCH(A260,PT_DIFFERENTIATION_VTAR_ID,0))</f>
        <v>Тариф на водоотведение</v>
      </c>
      <c r="G260" s="785" t="str">
        <f>INDEX(PT_DIFFERENTIATION_NTAR,MATCH(B260,PT_DIFFERENTIATION_NTAR_ID,0))</f>
        <v/>
      </c>
      <c r="H260" s="132"/>
      <c r="I260" s="798"/>
      <c r="J260" s="799"/>
      <c r="K260" s="262"/>
      <c r="L260" s="132" t="s">
        <v>311</v>
      </c>
      <c r="M260" s="806"/>
      <c r="N260" s="801"/>
      <c r="O260" s="150"/>
      <c r="P260" s="150"/>
      <c r="AH260" s="42">
        <v>0</v>
      </c>
    </row>
    <row r="261" s="42" customFormat="1" ht="18.75" hidden="1" customHeight="1" spans="1:34">
      <c r="A261" s="80"/>
      <c r="B261" s="80"/>
      <c r="C261" s="784" t="s">
        <v>1168</v>
      </c>
      <c r="D261" s="795"/>
      <c r="E261" s="294"/>
      <c r="F261" s="326"/>
      <c r="G261" s="785"/>
      <c r="H261" s="598"/>
      <c r="I261" s="331" t="s">
        <v>1167</v>
      </c>
      <c r="J261" s="775"/>
      <c r="K261" s="598"/>
      <c r="L261" s="577"/>
      <c r="M261" s="806"/>
      <c r="N261" s="801"/>
      <c r="O261" s="150"/>
      <c r="P261" s="150"/>
      <c r="AH261" s="42">
        <v>0</v>
      </c>
    </row>
    <row r="262" s="42" customFormat="1" ht="0.75" hidden="1" customHeight="1" spans="1:34">
      <c r="A262" s="80"/>
      <c r="B262" s="80"/>
      <c r="C262" s="784" t="s">
        <v>1175</v>
      </c>
      <c r="D262" s="795"/>
      <c r="E262" s="294"/>
      <c r="F262" s="326"/>
      <c r="G262" s="794"/>
      <c r="H262" s="598"/>
      <c r="I262" s="331"/>
      <c r="J262" s="775"/>
      <c r="K262" s="598"/>
      <c r="L262" s="577"/>
      <c r="M262" s="806"/>
      <c r="N262" s="801"/>
      <c r="O262" s="150"/>
      <c r="P262" s="150"/>
      <c r="AH262" s="42">
        <v>0</v>
      </c>
    </row>
    <row r="263" s="42" customFormat="1" ht="18.75" hidden="1" customHeight="1" spans="1:34">
      <c r="A263" s="80" t="s">
        <v>275</v>
      </c>
      <c r="B263" s="80" t="s">
        <v>276</v>
      </c>
      <c r="C263" s="784"/>
      <c r="D263" s="795"/>
      <c r="E263" s="294"/>
      <c r="F263" s="326" t="str">
        <f>INDEX(PT_DIFFERENTIATION_VTAR,MATCH(A263,PT_DIFFERENTIATION_VTAR_ID,0))</f>
        <v>Тариф на транспортировку сточных вод</v>
      </c>
      <c r="G263" s="785" t="str">
        <f>INDEX(PT_DIFFERENTIATION_NTAR,MATCH(B263,PT_DIFFERENTIATION_NTAR_ID,0))</f>
        <v/>
      </c>
      <c r="H263" s="132"/>
      <c r="I263" s="798"/>
      <c r="J263" s="799"/>
      <c r="K263" s="262"/>
      <c r="L263" s="132" t="s">
        <v>311</v>
      </c>
      <c r="M263" s="806"/>
      <c r="N263" s="801"/>
      <c r="O263" s="150"/>
      <c r="P263" s="150"/>
      <c r="AH263" s="42">
        <v>0</v>
      </c>
    </row>
    <row r="264" s="42" customFormat="1" ht="18.75" hidden="1" customHeight="1" spans="1:34">
      <c r="A264" s="80"/>
      <c r="B264" s="80"/>
      <c r="C264" s="784" t="s">
        <v>1168</v>
      </c>
      <c r="D264" s="795"/>
      <c r="E264" s="294"/>
      <c r="F264" s="326"/>
      <c r="G264" s="785"/>
      <c r="H264" s="598"/>
      <c r="I264" s="331" t="s">
        <v>1167</v>
      </c>
      <c r="J264" s="775"/>
      <c r="K264" s="598"/>
      <c r="L264" s="577"/>
      <c r="M264" s="806"/>
      <c r="N264" s="801"/>
      <c r="O264" s="150"/>
      <c r="P264" s="150"/>
      <c r="AH264" s="42">
        <v>0</v>
      </c>
    </row>
    <row r="265" s="42" customFormat="1" ht="0.75" hidden="1" customHeight="1" spans="1:34">
      <c r="A265" s="80"/>
      <c r="B265" s="80"/>
      <c r="C265" s="784" t="s">
        <v>1175</v>
      </c>
      <c r="D265" s="795"/>
      <c r="E265" s="294"/>
      <c r="F265" s="326"/>
      <c r="G265" s="794"/>
      <c r="H265" s="598"/>
      <c r="I265" s="331"/>
      <c r="J265" s="775"/>
      <c r="K265" s="598"/>
      <c r="L265" s="577"/>
      <c r="M265" s="806"/>
      <c r="N265" s="801"/>
      <c r="O265" s="150"/>
      <c r="P265" s="150"/>
      <c r="AH265" s="42">
        <v>0</v>
      </c>
    </row>
    <row r="266" s="42" customFormat="1" ht="18.75" hidden="1" customHeight="1" spans="1:34">
      <c r="A266" s="80" t="s">
        <v>280</v>
      </c>
      <c r="B266" s="80" t="s">
        <v>281</v>
      </c>
      <c r="C266" s="784"/>
      <c r="D266" s="795"/>
      <c r="E266" s="294"/>
      <c r="F266" s="326" t="str">
        <f>INDEX(PT_DIFFERENTIATION_VTAR,MATCH(A266,PT_DIFFERENTIATION_VTAR_ID,0))</f>
        <v>Тариф на подключение (технологическое присоединение) к централизованной системе водоотведения</v>
      </c>
      <c r="G266" s="785" t="str">
        <f>INDEX(PT_DIFFERENTIATION_NTAR,MATCH(B266,PT_DIFFERENTIATION_NTAR_ID,0))</f>
        <v/>
      </c>
      <c r="H266" s="132"/>
      <c r="I266" s="798"/>
      <c r="J266" s="799"/>
      <c r="K266" s="262"/>
      <c r="L266" s="132" t="s">
        <v>311</v>
      </c>
      <c r="M266" s="806"/>
      <c r="N266" s="801"/>
      <c r="O266" s="150"/>
      <c r="P266" s="150"/>
      <c r="AH266" s="42">
        <v>0</v>
      </c>
    </row>
    <row r="267" s="42" customFormat="1" ht="18.75" hidden="1" customHeight="1" spans="1:34">
      <c r="A267" s="80"/>
      <c r="B267" s="80"/>
      <c r="C267" s="784" t="s">
        <v>1168</v>
      </c>
      <c r="D267" s="795"/>
      <c r="E267" s="294"/>
      <c r="F267" s="326"/>
      <c r="G267" s="785"/>
      <c r="H267" s="598"/>
      <c r="I267" s="331" t="s">
        <v>1167</v>
      </c>
      <c r="J267" s="775"/>
      <c r="K267" s="598"/>
      <c r="L267" s="577"/>
      <c r="M267" s="806"/>
      <c r="N267" s="801"/>
      <c r="O267" s="150"/>
      <c r="P267" s="150"/>
      <c r="AH267" s="42">
        <v>0</v>
      </c>
    </row>
    <row r="268" s="42" customFormat="1" ht="1.05" customHeight="1" spans="1:34">
      <c r="A268" s="80"/>
      <c r="B268" s="80"/>
      <c r="C268" s="784" t="s">
        <v>1175</v>
      </c>
      <c r="D268" s="795"/>
      <c r="E268" s="294"/>
      <c r="F268" s="326"/>
      <c r="G268" s="794"/>
      <c r="H268" s="598"/>
      <c r="I268" s="331"/>
      <c r="J268" s="775"/>
      <c r="K268" s="598"/>
      <c r="L268" s="577"/>
      <c r="M268" s="806"/>
      <c r="N268" s="801"/>
      <c r="O268" s="150"/>
      <c r="P268" s="150"/>
      <c r="AH268" s="42">
        <v>1</v>
      </c>
    </row>
    <row r="269" ht="27.3" customHeight="1" spans="1:34">
      <c r="A269" s="80"/>
      <c r="B269" s="80"/>
      <c r="D269" s="50"/>
      <c r="E269" s="294" t="s">
        <v>93</v>
      </c>
      <c r="F269" s="4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464"/>
      <c r="H269" s="464"/>
      <c r="I269" s="464"/>
      <c r="J269" s="464"/>
      <c r="K269" s="464"/>
      <c r="L269" s="464"/>
      <c r="M269" s="805"/>
      <c r="N269" s="801"/>
      <c r="AH269" s="42">
        <v>26</v>
      </c>
    </row>
    <row r="270" s="42" customFormat="1" ht="60.75" hidden="1" customHeight="1" spans="1:34">
      <c r="A270" s="80" t="s">
        <v>157</v>
      </c>
      <c r="B270" s="80" t="s">
        <v>158</v>
      </c>
      <c r="C270" s="784"/>
      <c r="D270" s="795"/>
      <c r="E270" s="294"/>
      <c r="F270" s="32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785" t="str">
        <f>INDEX(PT_DIFFERENTIATION_NTAR,MATCH(B270,PT_DIFFERENTIATION_NTAR_ID,0))</f>
        <v/>
      </c>
      <c r="H270" s="132"/>
      <c r="I270" s="798"/>
      <c r="J270" s="799"/>
      <c r="K270" s="262"/>
      <c r="L270" s="132" t="s">
        <v>311</v>
      </c>
      <c r="M270" s="58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801"/>
      <c r="O270" s="150"/>
      <c r="P270" s="150"/>
      <c r="AH270" s="42">
        <v>0</v>
      </c>
    </row>
    <row r="271" s="42" customFormat="1" ht="18.75" hidden="1" customHeight="1" spans="1:34">
      <c r="A271" s="80"/>
      <c r="B271" s="80"/>
      <c r="C271" s="784" t="s">
        <v>1168</v>
      </c>
      <c r="D271" s="795"/>
      <c r="E271" s="294"/>
      <c r="F271" s="326"/>
      <c r="G271" s="785"/>
      <c r="H271" s="598"/>
      <c r="I271" s="331" t="s">
        <v>1167</v>
      </c>
      <c r="J271" s="775"/>
      <c r="K271" s="598"/>
      <c r="L271" s="577"/>
      <c r="M271" s="774"/>
      <c r="N271" s="801"/>
      <c r="O271" s="150"/>
      <c r="P271" s="150"/>
      <c r="AH271" s="42">
        <v>0</v>
      </c>
    </row>
    <row r="272" s="42" customFormat="1" ht="0.75" hidden="1" customHeight="1" spans="1:34">
      <c r="A272" s="80"/>
      <c r="B272" s="80"/>
      <c r="C272" s="784" t="s">
        <v>1175</v>
      </c>
      <c r="D272" s="795"/>
      <c r="E272" s="294"/>
      <c r="F272" s="326"/>
      <c r="G272" s="794"/>
      <c r="H272" s="598"/>
      <c r="I272" s="331"/>
      <c r="J272" s="775"/>
      <c r="K272" s="598"/>
      <c r="L272" s="577"/>
      <c r="M272" s="774"/>
      <c r="N272" s="801"/>
      <c r="O272" s="150"/>
      <c r="P272" s="150"/>
      <c r="AH272" s="42">
        <v>0</v>
      </c>
    </row>
    <row r="273" s="42" customFormat="1" ht="45" hidden="1" customHeight="1" spans="1:34">
      <c r="A273" s="80" t="s">
        <v>162</v>
      </c>
      <c r="B273" s="80" t="s">
        <v>163</v>
      </c>
      <c r="C273" s="784"/>
      <c r="D273" s="795"/>
      <c r="E273" s="294"/>
      <c r="F273" s="326" t="str">
        <f>INDEX(PT_DIFFERENTIATION_VTAR,MATCH(A273,PT_DIFFERENTIATION_VTAR_ID,0))</f>
        <v/>
      </c>
      <c r="G273" s="785" t="str">
        <f>INDEX(PT_DIFFERENTIATION_NTAR,MATCH(B273,PT_DIFFERENTIATION_NTAR_ID,0))</f>
        <v/>
      </c>
      <c r="H273" s="132"/>
      <c r="I273" s="798"/>
      <c r="J273" s="799"/>
      <c r="K273" s="262"/>
      <c r="L273" s="132" t="s">
        <v>311</v>
      </c>
      <c r="M273" s="581"/>
      <c r="N273" s="801"/>
      <c r="O273" s="150"/>
      <c r="P273" s="150"/>
      <c r="AH273" s="42">
        <v>0</v>
      </c>
    </row>
    <row r="274" s="42" customFormat="1" ht="18.75" hidden="1" customHeight="1" spans="1:34">
      <c r="A274" s="80"/>
      <c r="B274" s="80"/>
      <c r="C274" s="784" t="s">
        <v>1168</v>
      </c>
      <c r="D274" s="795"/>
      <c r="E274" s="294"/>
      <c r="F274" s="326"/>
      <c r="G274" s="785"/>
      <c r="H274" s="598"/>
      <c r="I274" s="331" t="s">
        <v>1167</v>
      </c>
      <c r="J274" s="775"/>
      <c r="K274" s="598"/>
      <c r="L274" s="577"/>
      <c r="M274" s="774"/>
      <c r="N274" s="801"/>
      <c r="O274" s="150"/>
      <c r="P274" s="150"/>
      <c r="AH274" s="42">
        <v>0</v>
      </c>
    </row>
    <row r="275" s="42" customFormat="1" ht="0.75" hidden="1" customHeight="1" spans="1:34">
      <c r="A275" s="80"/>
      <c r="B275" s="80"/>
      <c r="C275" s="784" t="s">
        <v>1175</v>
      </c>
      <c r="D275" s="795"/>
      <c r="E275" s="294"/>
      <c r="F275" s="326"/>
      <c r="G275" s="794"/>
      <c r="H275" s="598"/>
      <c r="I275" s="331"/>
      <c r="J275" s="775"/>
      <c r="K275" s="598"/>
      <c r="L275" s="577"/>
      <c r="M275" s="806"/>
      <c r="N275" s="801"/>
      <c r="O275" s="150"/>
      <c r="P275" s="150"/>
      <c r="AH275" s="42">
        <v>0</v>
      </c>
    </row>
    <row r="276" s="42" customFormat="1" ht="45" hidden="1" customHeight="1" spans="1:34">
      <c r="A276" s="80" t="s">
        <v>169</v>
      </c>
      <c r="B276" s="80" t="s">
        <v>170</v>
      </c>
      <c r="C276" s="784"/>
      <c r="D276" s="795"/>
      <c r="E276" s="294"/>
      <c r="F276" s="32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785" t="str">
        <f>INDEX(PT_DIFFERENTIATION_NTAR,MATCH(B276,PT_DIFFERENTIATION_NTAR_ID,0))</f>
        <v/>
      </c>
      <c r="H276" s="132"/>
      <c r="I276" s="798"/>
      <c r="J276" s="799"/>
      <c r="K276" s="262"/>
      <c r="L276" s="132" t="s">
        <v>311</v>
      </c>
      <c r="M276" s="806"/>
      <c r="N276" s="801"/>
      <c r="O276" s="150"/>
      <c r="P276" s="150"/>
      <c r="AH276" s="42">
        <v>0</v>
      </c>
    </row>
    <row r="277" s="42" customFormat="1" ht="18.75" hidden="1" customHeight="1" spans="1:34">
      <c r="A277" s="80"/>
      <c r="B277" s="80"/>
      <c r="C277" s="784" t="s">
        <v>1168</v>
      </c>
      <c r="D277" s="795"/>
      <c r="E277" s="294"/>
      <c r="F277" s="326"/>
      <c r="G277" s="785"/>
      <c r="H277" s="598"/>
      <c r="I277" s="331" t="s">
        <v>1167</v>
      </c>
      <c r="J277" s="775"/>
      <c r="K277" s="598"/>
      <c r="L277" s="577"/>
      <c r="M277" s="806"/>
      <c r="N277" s="801"/>
      <c r="O277" s="150"/>
      <c r="P277" s="150"/>
      <c r="AH277" s="42">
        <v>0</v>
      </c>
    </row>
    <row r="278" s="42" customFormat="1" ht="0.75" hidden="1" customHeight="1" spans="1:34">
      <c r="A278" s="80"/>
      <c r="B278" s="80"/>
      <c r="C278" s="784" t="s">
        <v>1175</v>
      </c>
      <c r="D278" s="795"/>
      <c r="E278" s="294"/>
      <c r="F278" s="326"/>
      <c r="G278" s="794"/>
      <c r="H278" s="598"/>
      <c r="I278" s="331"/>
      <c r="J278" s="775"/>
      <c r="K278" s="598"/>
      <c r="L278" s="577"/>
      <c r="M278" s="806"/>
      <c r="N278" s="801"/>
      <c r="O278" s="150"/>
      <c r="P278" s="150"/>
      <c r="AH278" s="42">
        <v>0</v>
      </c>
    </row>
    <row r="279" s="42" customFormat="1" ht="45" hidden="1" customHeight="1" spans="1:34">
      <c r="A279" s="80" t="s">
        <v>175</v>
      </c>
      <c r="B279" s="80" t="s">
        <v>176</v>
      </c>
      <c r="C279" s="784"/>
      <c r="D279" s="795"/>
      <c r="E279" s="294"/>
      <c r="F279" s="32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785" t="str">
        <f>INDEX(PT_DIFFERENTIATION_NTAR,MATCH(B279,PT_DIFFERENTIATION_NTAR_ID,0))</f>
        <v/>
      </c>
      <c r="H279" s="132"/>
      <c r="I279" s="798"/>
      <c r="J279" s="799"/>
      <c r="K279" s="262"/>
      <c r="L279" s="132" t="s">
        <v>311</v>
      </c>
      <c r="M279" s="806"/>
      <c r="N279" s="801"/>
      <c r="O279" s="150"/>
      <c r="P279" s="150"/>
      <c r="AH279" s="42">
        <v>0</v>
      </c>
    </row>
    <row r="280" s="42" customFormat="1" ht="18.75" hidden="1" customHeight="1" spans="1:34">
      <c r="A280" s="80"/>
      <c r="B280" s="80"/>
      <c r="C280" s="784" t="s">
        <v>1168</v>
      </c>
      <c r="D280" s="795"/>
      <c r="E280" s="294"/>
      <c r="F280" s="326"/>
      <c r="G280" s="785"/>
      <c r="H280" s="598"/>
      <c r="I280" s="331" t="s">
        <v>1167</v>
      </c>
      <c r="J280" s="775"/>
      <c r="K280" s="598"/>
      <c r="L280" s="577"/>
      <c r="M280" s="806"/>
      <c r="N280" s="801"/>
      <c r="O280" s="150"/>
      <c r="P280" s="150"/>
      <c r="AH280" s="42">
        <v>0</v>
      </c>
    </row>
    <row r="281" s="42" customFormat="1" ht="0.75" hidden="1" customHeight="1" spans="1:34">
      <c r="A281" s="80"/>
      <c r="B281" s="80"/>
      <c r="C281" s="784" t="s">
        <v>1175</v>
      </c>
      <c r="D281" s="795"/>
      <c r="E281" s="294"/>
      <c r="F281" s="326"/>
      <c r="G281" s="794"/>
      <c r="H281" s="598"/>
      <c r="I281" s="331"/>
      <c r="J281" s="775"/>
      <c r="K281" s="598"/>
      <c r="L281" s="577"/>
      <c r="M281" s="806"/>
      <c r="N281" s="801"/>
      <c r="O281" s="150"/>
      <c r="P281" s="150"/>
      <c r="AH281" s="42">
        <v>0</v>
      </c>
    </row>
    <row r="282" s="42" customFormat="1" ht="18.75" hidden="1" customHeight="1" spans="1:34">
      <c r="A282" s="80" t="s">
        <v>181</v>
      </c>
      <c r="B282" s="80" t="s">
        <v>182</v>
      </c>
      <c r="C282" s="784"/>
      <c r="D282" s="795"/>
      <c r="E282" s="294"/>
      <c r="F282" s="326" t="str">
        <f>INDEX(PT_DIFFERENTIATION_VTAR,MATCH(A282,PT_DIFFERENTIATION_VTAR_ID,0))</f>
        <v>Тарифы на услуги по передаче тепловой энергии</v>
      </c>
      <c r="G282" s="785" t="str">
        <f>INDEX(PT_DIFFERENTIATION_NTAR,MATCH(B282,PT_DIFFERENTIATION_NTAR_ID,0))</f>
        <v/>
      </c>
      <c r="H282" s="132"/>
      <c r="I282" s="798"/>
      <c r="J282" s="799"/>
      <c r="K282" s="262"/>
      <c r="L282" s="132" t="s">
        <v>311</v>
      </c>
      <c r="M282" s="806"/>
      <c r="N282" s="801"/>
      <c r="O282" s="150"/>
      <c r="P282" s="150"/>
      <c r="AH282" s="42">
        <v>0</v>
      </c>
    </row>
    <row r="283" s="42" customFormat="1" ht="18.75" hidden="1" customHeight="1" spans="1:34">
      <c r="A283" s="80"/>
      <c r="B283" s="80"/>
      <c r="C283" s="784" t="s">
        <v>1168</v>
      </c>
      <c r="D283" s="795"/>
      <c r="E283" s="294"/>
      <c r="F283" s="326"/>
      <c r="G283" s="785"/>
      <c r="H283" s="598"/>
      <c r="I283" s="331" t="s">
        <v>1167</v>
      </c>
      <c r="J283" s="775"/>
      <c r="K283" s="598"/>
      <c r="L283" s="577"/>
      <c r="M283" s="806"/>
      <c r="N283" s="801"/>
      <c r="O283" s="150"/>
      <c r="P283" s="150"/>
      <c r="AH283" s="42">
        <v>0</v>
      </c>
    </row>
    <row r="284" s="42" customFormat="1" ht="0.75" hidden="1" customHeight="1" spans="1:34">
      <c r="A284" s="80"/>
      <c r="B284" s="80"/>
      <c r="C284" s="784" t="s">
        <v>1175</v>
      </c>
      <c r="D284" s="795"/>
      <c r="E284" s="294"/>
      <c r="F284" s="326"/>
      <c r="G284" s="794"/>
      <c r="H284" s="598"/>
      <c r="I284" s="331"/>
      <c r="J284" s="775"/>
      <c r="K284" s="598"/>
      <c r="L284" s="577"/>
      <c r="M284" s="806"/>
      <c r="N284" s="801"/>
      <c r="O284" s="150"/>
      <c r="P284" s="150"/>
      <c r="AH284" s="42">
        <v>0</v>
      </c>
    </row>
    <row r="285" s="42" customFormat="1" ht="18.75" hidden="1" customHeight="1" spans="1:34">
      <c r="A285" s="80" t="s">
        <v>187</v>
      </c>
      <c r="B285" s="80" t="s">
        <v>188</v>
      </c>
      <c r="C285" s="784"/>
      <c r="D285" s="795"/>
      <c r="E285" s="294"/>
      <c r="F285" s="326" t="str">
        <f>INDEX(PT_DIFFERENTIATION_VTAR,MATCH(A285,PT_DIFFERENTIATION_VTAR_ID,0))</f>
        <v>Тарифы на услуги по передаче теплоносителя</v>
      </c>
      <c r="G285" s="785" t="str">
        <f>INDEX(PT_DIFFERENTIATION_NTAR,MATCH(B285,PT_DIFFERENTIATION_NTAR_ID,0))</f>
        <v/>
      </c>
      <c r="H285" s="132"/>
      <c r="I285" s="798"/>
      <c r="J285" s="799"/>
      <c r="K285" s="262"/>
      <c r="L285" s="132" t="s">
        <v>311</v>
      </c>
      <c r="M285" s="806"/>
      <c r="N285" s="801"/>
      <c r="O285" s="150"/>
      <c r="P285" s="150"/>
      <c r="AH285" s="42">
        <v>0</v>
      </c>
    </row>
    <row r="286" s="42" customFormat="1" ht="18.75" hidden="1" customHeight="1" spans="1:34">
      <c r="A286" s="80"/>
      <c r="B286" s="80"/>
      <c r="C286" s="784" t="s">
        <v>1168</v>
      </c>
      <c r="D286" s="795"/>
      <c r="E286" s="294"/>
      <c r="F286" s="326"/>
      <c r="G286" s="785"/>
      <c r="H286" s="598"/>
      <c r="I286" s="331" t="s">
        <v>1167</v>
      </c>
      <c r="J286" s="775"/>
      <c r="K286" s="598"/>
      <c r="L286" s="577"/>
      <c r="M286" s="806"/>
      <c r="N286" s="801"/>
      <c r="O286" s="150"/>
      <c r="P286" s="150"/>
      <c r="AH286" s="42">
        <v>0</v>
      </c>
    </row>
    <row r="287" s="42" customFormat="1" ht="0.75" hidden="1" customHeight="1" spans="1:34">
      <c r="A287" s="80"/>
      <c r="B287" s="80"/>
      <c r="C287" s="784" t="s">
        <v>1175</v>
      </c>
      <c r="D287" s="795"/>
      <c r="E287" s="294"/>
      <c r="F287" s="326"/>
      <c r="G287" s="794"/>
      <c r="H287" s="598"/>
      <c r="I287" s="331"/>
      <c r="J287" s="775"/>
      <c r="K287" s="598"/>
      <c r="L287" s="577"/>
      <c r="M287" s="806"/>
      <c r="N287" s="801"/>
      <c r="O287" s="150"/>
      <c r="P287" s="150"/>
      <c r="AH287" s="42">
        <v>0</v>
      </c>
    </row>
    <row r="288" s="42" customFormat="1" ht="18.75" hidden="1" customHeight="1" spans="1:34">
      <c r="A288" s="80" t="s">
        <v>193</v>
      </c>
      <c r="B288" s="80" t="s">
        <v>194</v>
      </c>
      <c r="C288" s="784"/>
      <c r="D288" s="795"/>
      <c r="E288" s="294"/>
      <c r="F288" s="32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785" t="str">
        <f>INDEX(PT_DIFFERENTIATION_NTAR,MATCH(B288,PT_DIFFERENTIATION_NTAR_ID,0))</f>
        <v/>
      </c>
      <c r="H288" s="132"/>
      <c r="I288" s="798"/>
      <c r="J288" s="799"/>
      <c r="K288" s="262"/>
      <c r="L288" s="132" t="s">
        <v>311</v>
      </c>
      <c r="M288" s="806"/>
      <c r="N288" s="801"/>
      <c r="O288" s="150"/>
      <c r="P288" s="150"/>
      <c r="AH288" s="42">
        <v>0</v>
      </c>
    </row>
    <row r="289" s="42" customFormat="1" ht="18.75" hidden="1" customHeight="1" spans="1:34">
      <c r="A289" s="80"/>
      <c r="B289" s="80"/>
      <c r="C289" s="784" t="s">
        <v>1168</v>
      </c>
      <c r="D289" s="795"/>
      <c r="E289" s="294"/>
      <c r="F289" s="326"/>
      <c r="G289" s="785"/>
      <c r="H289" s="598"/>
      <c r="I289" s="331" t="s">
        <v>1167</v>
      </c>
      <c r="J289" s="775"/>
      <c r="K289" s="598"/>
      <c r="L289" s="577"/>
      <c r="M289" s="806"/>
      <c r="N289" s="801"/>
      <c r="O289" s="150"/>
      <c r="P289" s="150"/>
      <c r="AH289" s="42">
        <v>0</v>
      </c>
    </row>
    <row r="290" s="42" customFormat="1" ht="0.75" hidden="1" customHeight="1" spans="1:34">
      <c r="A290" s="80"/>
      <c r="B290" s="80"/>
      <c r="C290" s="784" t="s">
        <v>1175</v>
      </c>
      <c r="D290" s="795"/>
      <c r="E290" s="294"/>
      <c r="F290" s="326"/>
      <c r="G290" s="794"/>
      <c r="H290" s="598"/>
      <c r="I290" s="331"/>
      <c r="J290" s="775"/>
      <c r="K290" s="598"/>
      <c r="L290" s="577"/>
      <c r="M290" s="806"/>
      <c r="N290" s="801"/>
      <c r="O290" s="150"/>
      <c r="P290" s="150"/>
      <c r="AH290" s="42">
        <v>0</v>
      </c>
    </row>
    <row r="291" s="42" customFormat="1" ht="18.75" hidden="1" customHeight="1" spans="1:34">
      <c r="A291" s="80" t="s">
        <v>199</v>
      </c>
      <c r="B291" s="80" t="s">
        <v>200</v>
      </c>
      <c r="C291" s="784"/>
      <c r="D291" s="795"/>
      <c r="E291" s="294"/>
      <c r="F291" s="326" t="str">
        <f>INDEX(PT_DIFFERENTIATION_VTAR,MATCH(A291,PT_DIFFERENTIATION_VTAR_ID,0))</f>
        <v>Плата за подключение (технологическое присоединение) к системе теплоснабжения</v>
      </c>
      <c r="G291" s="785" t="str">
        <f>INDEX(PT_DIFFERENTIATION_NTAR,MATCH(B291,PT_DIFFERENTIATION_NTAR_ID,0))</f>
        <v/>
      </c>
      <c r="H291" s="132"/>
      <c r="I291" s="798"/>
      <c r="J291" s="799"/>
      <c r="K291" s="262"/>
      <c r="L291" s="132" t="s">
        <v>311</v>
      </c>
      <c r="M291" s="806"/>
      <c r="N291" s="801"/>
      <c r="O291" s="150"/>
      <c r="P291" s="150"/>
      <c r="AH291" s="42">
        <v>0</v>
      </c>
    </row>
    <row r="292" s="42" customFormat="1" ht="18.75" hidden="1" customHeight="1" spans="1:34">
      <c r="A292" s="80"/>
      <c r="B292" s="80"/>
      <c r="C292" s="784" t="s">
        <v>1168</v>
      </c>
      <c r="D292" s="795"/>
      <c r="E292" s="294"/>
      <c r="F292" s="326"/>
      <c r="G292" s="785"/>
      <c r="H292" s="598"/>
      <c r="I292" s="331" t="s">
        <v>1167</v>
      </c>
      <c r="J292" s="775"/>
      <c r="K292" s="598"/>
      <c r="L292" s="577"/>
      <c r="M292" s="806"/>
      <c r="N292" s="801"/>
      <c r="O292" s="150"/>
      <c r="P292" s="150"/>
      <c r="AH292" s="42">
        <v>0</v>
      </c>
    </row>
    <row r="293" s="42" customFormat="1" ht="0.75" hidden="1" customHeight="1" spans="1:34">
      <c r="A293" s="80"/>
      <c r="B293" s="80"/>
      <c r="C293" s="784" t="s">
        <v>1175</v>
      </c>
      <c r="D293" s="795"/>
      <c r="E293" s="294"/>
      <c r="F293" s="326"/>
      <c r="G293" s="794"/>
      <c r="H293" s="598"/>
      <c r="I293" s="331"/>
      <c r="J293" s="775"/>
      <c r="K293" s="598"/>
      <c r="L293" s="577"/>
      <c r="M293" s="806"/>
      <c r="N293" s="801"/>
      <c r="O293" s="150"/>
      <c r="P293" s="150"/>
      <c r="AH293" s="42">
        <v>0</v>
      </c>
    </row>
    <row r="294" s="42" customFormat="1" ht="18.75" hidden="1" customHeight="1" spans="1:34">
      <c r="A294" s="80" t="s">
        <v>205</v>
      </c>
      <c r="B294" s="80" t="s">
        <v>206</v>
      </c>
      <c r="C294" s="784"/>
      <c r="D294" s="795"/>
      <c r="E294" s="294"/>
      <c r="F294" s="326" t="str">
        <f>INDEX(PT_DIFFERENTIATION_VTAR,MATCH(A294,PT_DIFFERENTIATION_VTAR_ID,0))</f>
        <v>Плата за подключение (технологическое присоединение) к системе теплоснабжения (индивидуальная)</v>
      </c>
      <c r="G294" s="785" t="str">
        <f>INDEX(PT_DIFFERENTIATION_NTAR,MATCH(B294,PT_DIFFERENTIATION_NTAR_ID,0))</f>
        <v/>
      </c>
      <c r="H294" s="132"/>
      <c r="I294" s="798"/>
      <c r="J294" s="799"/>
      <c r="K294" s="262"/>
      <c r="L294" s="132" t="s">
        <v>311</v>
      </c>
      <c r="M294" s="806"/>
      <c r="N294" s="801"/>
      <c r="O294" s="150"/>
      <c r="P294" s="150"/>
      <c r="AH294" s="42">
        <v>0</v>
      </c>
    </row>
    <row r="295" s="42" customFormat="1" ht="18.75" hidden="1" customHeight="1" spans="1:34">
      <c r="A295" s="80"/>
      <c r="B295" s="80"/>
      <c r="C295" s="784" t="s">
        <v>1168</v>
      </c>
      <c r="D295" s="795"/>
      <c r="E295" s="294"/>
      <c r="F295" s="326"/>
      <c r="G295" s="785"/>
      <c r="H295" s="598"/>
      <c r="I295" s="331" t="s">
        <v>1167</v>
      </c>
      <c r="J295" s="775"/>
      <c r="K295" s="598"/>
      <c r="L295" s="577"/>
      <c r="M295" s="806"/>
      <c r="N295" s="801"/>
      <c r="O295" s="150"/>
      <c r="P295" s="150"/>
      <c r="AH295" s="42">
        <v>0</v>
      </c>
    </row>
    <row r="296" s="42" customFormat="1" ht="0.75" hidden="1" customHeight="1" spans="1:34">
      <c r="A296" s="80"/>
      <c r="B296" s="80"/>
      <c r="C296" s="784" t="s">
        <v>1175</v>
      </c>
      <c r="D296" s="795"/>
      <c r="E296" s="294"/>
      <c r="F296" s="326"/>
      <c r="G296" s="794"/>
      <c r="H296" s="598"/>
      <c r="I296" s="331"/>
      <c r="J296" s="775"/>
      <c r="K296" s="598"/>
      <c r="L296" s="577"/>
      <c r="M296" s="806"/>
      <c r="N296" s="801"/>
      <c r="O296" s="150"/>
      <c r="P296" s="150"/>
      <c r="AH296" s="42">
        <v>0</v>
      </c>
    </row>
    <row r="297" s="42" customFormat="1" ht="18.75" hidden="1" customHeight="1" spans="1:34">
      <c r="A297" s="80" t="s">
        <v>225</v>
      </c>
      <c r="B297" s="80" t="s">
        <v>226</v>
      </c>
      <c r="C297" s="784"/>
      <c r="D297" s="795"/>
      <c r="E297" s="294"/>
      <c r="F297" s="326" t="str">
        <f>INDEX(PT_DIFFERENTIATION_VTAR,MATCH(A297,PT_DIFFERENTIATION_VTAR_ID,0))</f>
        <v>Тариф на питьевую воду (питьевое водоснабжение)</v>
      </c>
      <c r="G297" s="785" t="str">
        <f>INDEX(PT_DIFFERENTIATION_NTAR,MATCH(B297,PT_DIFFERENTIATION_NTAR_ID,0))</f>
        <v/>
      </c>
      <c r="H297" s="132"/>
      <c r="I297" s="798"/>
      <c r="J297" s="799"/>
      <c r="K297" s="262"/>
      <c r="L297" s="132" t="s">
        <v>311</v>
      </c>
      <c r="M297" s="806"/>
      <c r="N297" s="801"/>
      <c r="O297" s="150"/>
      <c r="P297" s="150"/>
      <c r="AH297" s="42">
        <v>0</v>
      </c>
    </row>
    <row r="298" s="42" customFormat="1" ht="18.75" hidden="1" customHeight="1" spans="1:34">
      <c r="A298" s="80"/>
      <c r="B298" s="80"/>
      <c r="C298" s="784" t="s">
        <v>1168</v>
      </c>
      <c r="D298" s="795"/>
      <c r="E298" s="294"/>
      <c r="F298" s="326"/>
      <c r="G298" s="785"/>
      <c r="H298" s="598"/>
      <c r="I298" s="331" t="s">
        <v>1167</v>
      </c>
      <c r="J298" s="775"/>
      <c r="K298" s="598"/>
      <c r="L298" s="577"/>
      <c r="M298" s="806"/>
      <c r="N298" s="801"/>
      <c r="O298" s="150"/>
      <c r="P298" s="150"/>
      <c r="AH298" s="42">
        <v>0</v>
      </c>
    </row>
    <row r="299" s="42" customFormat="1" ht="0.75" hidden="1" customHeight="1" spans="1:34">
      <c r="A299" s="80"/>
      <c r="B299" s="80"/>
      <c r="C299" s="784" t="s">
        <v>1175</v>
      </c>
      <c r="D299" s="795"/>
      <c r="E299" s="294"/>
      <c r="F299" s="326"/>
      <c r="G299" s="794"/>
      <c r="H299" s="598"/>
      <c r="I299" s="331"/>
      <c r="J299" s="775"/>
      <c r="K299" s="598"/>
      <c r="L299" s="577"/>
      <c r="M299" s="806"/>
      <c r="N299" s="801"/>
      <c r="O299" s="150"/>
      <c r="P299" s="150"/>
      <c r="AH299" s="42">
        <v>0</v>
      </c>
    </row>
    <row r="300" s="42" customFormat="1" ht="18.75" hidden="1" customHeight="1" spans="1:34">
      <c r="A300" s="80" t="s">
        <v>230</v>
      </c>
      <c r="B300" s="80" t="s">
        <v>231</v>
      </c>
      <c r="C300" s="784"/>
      <c r="D300" s="795"/>
      <c r="E300" s="294"/>
      <c r="F300" s="326" t="str">
        <f>INDEX(PT_DIFFERENTIATION_VTAR,MATCH(A300,PT_DIFFERENTIATION_VTAR_ID,0))</f>
        <v>Тариф на техническую воду</v>
      </c>
      <c r="G300" s="785" t="str">
        <f>INDEX(PT_DIFFERENTIATION_NTAR,MATCH(B300,PT_DIFFERENTIATION_NTAR_ID,0))</f>
        <v/>
      </c>
      <c r="H300" s="132"/>
      <c r="I300" s="798"/>
      <c r="J300" s="799"/>
      <c r="K300" s="262"/>
      <c r="L300" s="132" t="s">
        <v>311</v>
      </c>
      <c r="M300" s="806"/>
      <c r="N300" s="801"/>
      <c r="O300" s="150"/>
      <c r="P300" s="150"/>
      <c r="AH300" s="42">
        <v>0</v>
      </c>
    </row>
    <row r="301" s="42" customFormat="1" ht="18.75" hidden="1" customHeight="1" spans="1:34">
      <c r="A301" s="80"/>
      <c r="B301" s="80"/>
      <c r="C301" s="784" t="s">
        <v>1168</v>
      </c>
      <c r="D301" s="795"/>
      <c r="E301" s="294"/>
      <c r="F301" s="326"/>
      <c r="G301" s="785"/>
      <c r="H301" s="598"/>
      <c r="I301" s="331" t="s">
        <v>1167</v>
      </c>
      <c r="J301" s="775"/>
      <c r="K301" s="598"/>
      <c r="L301" s="577"/>
      <c r="M301" s="806"/>
      <c r="N301" s="801"/>
      <c r="O301" s="150"/>
      <c r="P301" s="150"/>
      <c r="AH301" s="42">
        <v>0</v>
      </c>
    </row>
    <row r="302" s="42" customFormat="1" ht="0.75" hidden="1" customHeight="1" spans="1:34">
      <c r="A302" s="80"/>
      <c r="B302" s="80"/>
      <c r="C302" s="784" t="s">
        <v>1175</v>
      </c>
      <c r="D302" s="795"/>
      <c r="E302" s="294"/>
      <c r="F302" s="326"/>
      <c r="G302" s="794"/>
      <c r="H302" s="598"/>
      <c r="I302" s="331"/>
      <c r="J302" s="775"/>
      <c r="K302" s="598"/>
      <c r="L302" s="577"/>
      <c r="M302" s="806"/>
      <c r="N302" s="801"/>
      <c r="O302" s="150"/>
      <c r="P302" s="150"/>
      <c r="AH302" s="42">
        <v>0</v>
      </c>
    </row>
    <row r="303" s="42" customFormat="1" ht="18.75" hidden="1" customHeight="1" spans="1:34">
      <c r="A303" s="80" t="s">
        <v>235</v>
      </c>
      <c r="B303" s="80" t="s">
        <v>236</v>
      </c>
      <c r="C303" s="784"/>
      <c r="D303" s="795"/>
      <c r="E303" s="294"/>
      <c r="F303" s="326" t="str">
        <f>INDEX(PT_DIFFERENTIATION_VTAR,MATCH(A303,PT_DIFFERENTIATION_VTAR_ID,0))</f>
        <v>Тариф на транспортировку воды</v>
      </c>
      <c r="G303" s="785" t="str">
        <f>INDEX(PT_DIFFERENTIATION_NTAR,MATCH(B303,PT_DIFFERENTIATION_NTAR_ID,0))</f>
        <v/>
      </c>
      <c r="H303" s="132"/>
      <c r="I303" s="798"/>
      <c r="J303" s="799"/>
      <c r="K303" s="262"/>
      <c r="L303" s="132" t="s">
        <v>311</v>
      </c>
      <c r="M303" s="806"/>
      <c r="N303" s="801"/>
      <c r="O303" s="150"/>
      <c r="P303" s="150"/>
      <c r="AH303" s="42">
        <v>0</v>
      </c>
    </row>
    <row r="304" s="42" customFormat="1" ht="18.75" hidden="1" customHeight="1" spans="1:34">
      <c r="A304" s="80"/>
      <c r="B304" s="80"/>
      <c r="C304" s="784" t="s">
        <v>1168</v>
      </c>
      <c r="D304" s="795"/>
      <c r="E304" s="294"/>
      <c r="F304" s="326"/>
      <c r="G304" s="785"/>
      <c r="H304" s="598"/>
      <c r="I304" s="331" t="s">
        <v>1167</v>
      </c>
      <c r="J304" s="775"/>
      <c r="K304" s="598"/>
      <c r="L304" s="577"/>
      <c r="M304" s="806"/>
      <c r="N304" s="801"/>
      <c r="O304" s="150"/>
      <c r="P304" s="150"/>
      <c r="AH304" s="42">
        <v>0</v>
      </c>
    </row>
    <row r="305" s="42" customFormat="1" ht="0.75" hidden="1" customHeight="1" spans="1:34">
      <c r="A305" s="80"/>
      <c r="B305" s="80"/>
      <c r="C305" s="784" t="s">
        <v>1175</v>
      </c>
      <c r="D305" s="795"/>
      <c r="E305" s="294"/>
      <c r="F305" s="326"/>
      <c r="G305" s="794"/>
      <c r="H305" s="598"/>
      <c r="I305" s="331"/>
      <c r="J305" s="775"/>
      <c r="K305" s="598"/>
      <c r="L305" s="577"/>
      <c r="M305" s="806"/>
      <c r="N305" s="801"/>
      <c r="O305" s="150"/>
      <c r="P305" s="150"/>
      <c r="AH305" s="42">
        <v>0</v>
      </c>
    </row>
    <row r="306" s="42" customFormat="1" ht="18.75" hidden="1" customHeight="1" spans="1:34">
      <c r="A306" s="80" t="s">
        <v>240</v>
      </c>
      <c r="B306" s="80" t="s">
        <v>241</v>
      </c>
      <c r="C306" s="784"/>
      <c r="D306" s="795"/>
      <c r="E306" s="294"/>
      <c r="F306" s="326" t="str">
        <f>INDEX(PT_DIFFERENTIATION_VTAR,MATCH(A306,PT_DIFFERENTIATION_VTAR_ID,0))</f>
        <v>Тариф на подвоз воды</v>
      </c>
      <c r="G306" s="785" t="str">
        <f>INDEX(PT_DIFFERENTIATION_NTAR,MATCH(B306,PT_DIFFERENTIATION_NTAR_ID,0))</f>
        <v/>
      </c>
      <c r="H306" s="132"/>
      <c r="I306" s="798"/>
      <c r="J306" s="799"/>
      <c r="K306" s="262"/>
      <c r="L306" s="132" t="s">
        <v>311</v>
      </c>
      <c r="M306" s="806"/>
      <c r="N306" s="801"/>
      <c r="O306" s="150"/>
      <c r="P306" s="150"/>
      <c r="AH306" s="42">
        <v>0</v>
      </c>
    </row>
    <row r="307" s="42" customFormat="1" ht="18.75" hidden="1" customHeight="1" spans="1:34">
      <c r="A307" s="80"/>
      <c r="B307" s="80"/>
      <c r="C307" s="784" t="s">
        <v>1168</v>
      </c>
      <c r="D307" s="795"/>
      <c r="E307" s="294"/>
      <c r="F307" s="326"/>
      <c r="G307" s="785"/>
      <c r="H307" s="598"/>
      <c r="I307" s="331" t="s">
        <v>1167</v>
      </c>
      <c r="J307" s="775"/>
      <c r="K307" s="598"/>
      <c r="L307" s="577"/>
      <c r="M307" s="806"/>
      <c r="N307" s="801"/>
      <c r="O307" s="150"/>
      <c r="P307" s="150"/>
      <c r="AH307" s="42">
        <v>0</v>
      </c>
    </row>
    <row r="308" s="42" customFormat="1" ht="0.75" hidden="1" customHeight="1" spans="1:34">
      <c r="A308" s="80"/>
      <c r="B308" s="80"/>
      <c r="C308" s="784" t="s">
        <v>1175</v>
      </c>
      <c r="D308" s="795"/>
      <c r="E308" s="294"/>
      <c r="F308" s="326"/>
      <c r="G308" s="794"/>
      <c r="H308" s="598"/>
      <c r="I308" s="331"/>
      <c r="J308" s="775"/>
      <c r="K308" s="598"/>
      <c r="L308" s="577"/>
      <c r="M308" s="806"/>
      <c r="N308" s="801"/>
      <c r="O308" s="150"/>
      <c r="P308" s="150"/>
      <c r="AH308" s="42">
        <v>0</v>
      </c>
    </row>
    <row r="309" s="42" customFormat="1" ht="18.75" hidden="1" customHeight="1" spans="1:34">
      <c r="A309" s="80" t="s">
        <v>247</v>
      </c>
      <c r="B309" s="80" t="s">
        <v>248</v>
      </c>
      <c r="C309" s="784"/>
      <c r="D309" s="795"/>
      <c r="E309" s="294"/>
      <c r="F309" s="32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785" t="str">
        <f>INDEX(PT_DIFFERENTIATION_NTAR,MATCH(B309,PT_DIFFERENTIATION_NTAR_ID,0))</f>
        <v>Подключение (технологическое присоединение) к централизованной системе водоснабжения
</v>
      </c>
      <c r="H309" s="132"/>
      <c r="I309" s="798"/>
      <c r="J309" s="799"/>
      <c r="K309" s="262"/>
      <c r="L309" s="132" t="s">
        <v>311</v>
      </c>
      <c r="M309" s="806"/>
      <c r="N309" s="801"/>
      <c r="O309" s="150"/>
      <c r="P309" s="150"/>
      <c r="AH309" s="42">
        <v>0</v>
      </c>
    </row>
    <row r="310" s="42" customFormat="1" ht="18.75" hidden="1" customHeight="1" spans="1:34">
      <c r="A310" s="80"/>
      <c r="B310" s="80"/>
      <c r="C310" s="784" t="s">
        <v>1168</v>
      </c>
      <c r="D310" s="795"/>
      <c r="E310" s="294"/>
      <c r="F310" s="326"/>
      <c r="G310" s="785"/>
      <c r="H310" s="598"/>
      <c r="I310" s="331" t="s">
        <v>1167</v>
      </c>
      <c r="J310" s="775"/>
      <c r="K310" s="598"/>
      <c r="L310" s="577"/>
      <c r="M310" s="806"/>
      <c r="N310" s="801"/>
      <c r="O310" s="150"/>
      <c r="P310" s="150"/>
      <c r="AH310" s="42">
        <v>0</v>
      </c>
    </row>
    <row r="311" s="42" customFormat="1" ht="0.75" hidden="1" customHeight="1" spans="1:34">
      <c r="A311" s="80"/>
      <c r="B311" s="80"/>
      <c r="C311" s="784" t="s">
        <v>1175</v>
      </c>
      <c r="D311" s="795"/>
      <c r="E311" s="294"/>
      <c r="F311" s="326"/>
      <c r="G311" s="794"/>
      <c r="H311" s="598"/>
      <c r="I311" s="331"/>
      <c r="J311" s="775"/>
      <c r="K311" s="598"/>
      <c r="L311" s="577"/>
      <c r="M311" s="806"/>
      <c r="N311" s="801"/>
      <c r="O311" s="150"/>
      <c r="P311" s="150"/>
      <c r="AH311" s="42">
        <v>0</v>
      </c>
    </row>
    <row r="312" s="42" customFormat="1" ht="18.75" hidden="1" customHeight="1" spans="1:34">
      <c r="A312" s="80" t="s">
        <v>255</v>
      </c>
      <c r="B312" s="80" t="s">
        <v>256</v>
      </c>
      <c r="C312" s="784"/>
      <c r="D312" s="795"/>
      <c r="E312" s="294"/>
      <c r="F312" s="326" t="str">
        <f>INDEX(PT_DIFFERENTIATION_VTAR,MATCH(A312,PT_DIFFERENTIATION_VTAR_ID,0))</f>
        <v>Тариф на горячую воду (горячее водоснабжение)</v>
      </c>
      <c r="G312" s="785" t="str">
        <f>INDEX(PT_DIFFERENTIATION_NTAR,MATCH(B312,PT_DIFFERENTIATION_NTAR_ID,0))</f>
        <v/>
      </c>
      <c r="H312" s="132"/>
      <c r="I312" s="798"/>
      <c r="J312" s="799"/>
      <c r="K312" s="262"/>
      <c r="L312" s="132" t="s">
        <v>311</v>
      </c>
      <c r="M312" s="806"/>
      <c r="N312" s="801"/>
      <c r="O312" s="150"/>
      <c r="P312" s="150"/>
      <c r="AH312" s="42">
        <v>0</v>
      </c>
    </row>
    <row r="313" s="42" customFormat="1" ht="18.75" hidden="1" customHeight="1" spans="1:34">
      <c r="A313" s="80"/>
      <c r="B313" s="80"/>
      <c r="C313" s="784" t="s">
        <v>1168</v>
      </c>
      <c r="D313" s="795"/>
      <c r="E313" s="294"/>
      <c r="F313" s="326"/>
      <c r="G313" s="785"/>
      <c r="H313" s="598"/>
      <c r="I313" s="331" t="s">
        <v>1167</v>
      </c>
      <c r="J313" s="775"/>
      <c r="K313" s="598"/>
      <c r="L313" s="577"/>
      <c r="M313" s="806"/>
      <c r="N313" s="801"/>
      <c r="O313" s="150"/>
      <c r="P313" s="150"/>
      <c r="AH313" s="42">
        <v>0</v>
      </c>
    </row>
    <row r="314" s="42" customFormat="1" ht="0.75" hidden="1" customHeight="1" spans="1:34">
      <c r="A314" s="80"/>
      <c r="B314" s="80"/>
      <c r="C314" s="784" t="s">
        <v>1175</v>
      </c>
      <c r="D314" s="795"/>
      <c r="E314" s="294"/>
      <c r="F314" s="326"/>
      <c r="G314" s="794"/>
      <c r="H314" s="598"/>
      <c r="I314" s="331"/>
      <c r="J314" s="775"/>
      <c r="K314" s="598"/>
      <c r="L314" s="577"/>
      <c r="M314" s="806"/>
      <c r="N314" s="801"/>
      <c r="O314" s="150"/>
      <c r="P314" s="150"/>
      <c r="AH314" s="42">
        <v>0</v>
      </c>
    </row>
    <row r="315" s="42" customFormat="1" ht="18.75" hidden="1" customHeight="1" spans="1:34">
      <c r="A315" s="80" t="s">
        <v>260</v>
      </c>
      <c r="B315" s="80" t="s">
        <v>261</v>
      </c>
      <c r="C315" s="784"/>
      <c r="D315" s="795"/>
      <c r="E315" s="294"/>
      <c r="F315" s="326" t="str">
        <f>INDEX(PT_DIFFERENTIATION_VTAR,MATCH(A315,PT_DIFFERENTIATION_VTAR_ID,0))</f>
        <v>Тариф на транспортировку горячей воды</v>
      </c>
      <c r="G315" s="785" t="str">
        <f>INDEX(PT_DIFFERENTIATION_NTAR,MATCH(B315,PT_DIFFERENTIATION_NTAR_ID,0))</f>
        <v/>
      </c>
      <c r="H315" s="132"/>
      <c r="I315" s="798"/>
      <c r="J315" s="799"/>
      <c r="K315" s="262"/>
      <c r="L315" s="132" t="s">
        <v>311</v>
      </c>
      <c r="M315" s="806"/>
      <c r="N315" s="801"/>
      <c r="O315" s="150"/>
      <c r="P315" s="150"/>
      <c r="AH315" s="42">
        <v>0</v>
      </c>
    </row>
    <row r="316" s="42" customFormat="1" ht="18.75" hidden="1" customHeight="1" spans="1:34">
      <c r="A316" s="80"/>
      <c r="B316" s="80"/>
      <c r="C316" s="784" t="s">
        <v>1168</v>
      </c>
      <c r="D316" s="795"/>
      <c r="E316" s="294"/>
      <c r="F316" s="326"/>
      <c r="G316" s="785"/>
      <c r="H316" s="598"/>
      <c r="I316" s="331" t="s">
        <v>1167</v>
      </c>
      <c r="J316" s="775"/>
      <c r="K316" s="598"/>
      <c r="L316" s="577"/>
      <c r="M316" s="806"/>
      <c r="N316" s="801"/>
      <c r="O316" s="150"/>
      <c r="P316" s="150"/>
      <c r="AH316" s="42">
        <v>0</v>
      </c>
    </row>
    <row r="317" s="42" customFormat="1" ht="0.75" hidden="1" customHeight="1" spans="1:34">
      <c r="A317" s="80"/>
      <c r="B317" s="80"/>
      <c r="C317" s="784" t="s">
        <v>1175</v>
      </c>
      <c r="D317" s="795"/>
      <c r="E317" s="294"/>
      <c r="F317" s="326"/>
      <c r="G317" s="794"/>
      <c r="H317" s="598"/>
      <c r="I317" s="331"/>
      <c r="J317" s="775"/>
      <c r="K317" s="598"/>
      <c r="L317" s="577"/>
      <c r="M317" s="806"/>
      <c r="N317" s="801"/>
      <c r="O317" s="150"/>
      <c r="P317" s="150"/>
      <c r="AH317" s="42">
        <v>0</v>
      </c>
    </row>
    <row r="318" s="42" customFormat="1" ht="18.75" hidden="1" customHeight="1" spans="1:34">
      <c r="A318" s="80" t="s">
        <v>265</v>
      </c>
      <c r="B318" s="80" t="s">
        <v>266</v>
      </c>
      <c r="C318" s="784"/>
      <c r="D318" s="795"/>
      <c r="E318" s="294"/>
      <c r="F318" s="326" t="str">
        <f>INDEX(PT_DIFFERENTIATION_VTAR,MATCH(A318,PT_DIFFERENTIATION_VTAR_ID,0))</f>
        <v>Тариф на подключение (технологическое присоединение) к централизованной системе горячего водоснабжения</v>
      </c>
      <c r="G318" s="785" t="str">
        <f>INDEX(PT_DIFFERENTIATION_NTAR,MATCH(B318,PT_DIFFERENTIATION_NTAR_ID,0))</f>
        <v/>
      </c>
      <c r="H318" s="132"/>
      <c r="I318" s="798"/>
      <c r="J318" s="799"/>
      <c r="K318" s="262"/>
      <c r="L318" s="132" t="s">
        <v>311</v>
      </c>
      <c r="M318" s="806"/>
      <c r="N318" s="801"/>
      <c r="O318" s="150"/>
      <c r="P318" s="150"/>
      <c r="AH318" s="42">
        <v>0</v>
      </c>
    </row>
    <row r="319" s="42" customFormat="1" ht="18.75" hidden="1" customHeight="1" spans="1:34">
      <c r="A319" s="80"/>
      <c r="B319" s="80"/>
      <c r="C319" s="784" t="s">
        <v>1168</v>
      </c>
      <c r="D319" s="795"/>
      <c r="E319" s="294"/>
      <c r="F319" s="326"/>
      <c r="G319" s="785"/>
      <c r="H319" s="598"/>
      <c r="I319" s="331" t="s">
        <v>1167</v>
      </c>
      <c r="J319" s="775"/>
      <c r="K319" s="598"/>
      <c r="L319" s="577"/>
      <c r="M319" s="806"/>
      <c r="N319" s="801"/>
      <c r="O319" s="150"/>
      <c r="P319" s="150"/>
      <c r="AH319" s="42">
        <v>0</v>
      </c>
    </row>
    <row r="320" s="42" customFormat="1" ht="0.75" hidden="1" customHeight="1" spans="1:34">
      <c r="A320" s="80"/>
      <c r="B320" s="80"/>
      <c r="C320" s="784" t="s">
        <v>1175</v>
      </c>
      <c r="D320" s="795"/>
      <c r="E320" s="294"/>
      <c r="F320" s="326"/>
      <c r="G320" s="794"/>
      <c r="H320" s="598"/>
      <c r="I320" s="331"/>
      <c r="J320" s="775"/>
      <c r="K320" s="598"/>
      <c r="L320" s="577"/>
      <c r="M320" s="806"/>
      <c r="N320" s="801"/>
      <c r="O320" s="150"/>
      <c r="P320" s="150"/>
      <c r="AH320" s="42">
        <v>0</v>
      </c>
    </row>
    <row r="321" s="42" customFormat="1" ht="18.75" hidden="1" customHeight="1" spans="1:34">
      <c r="A321" s="80" t="s">
        <v>270</v>
      </c>
      <c r="B321" s="80" t="s">
        <v>271</v>
      </c>
      <c r="C321" s="784"/>
      <c r="D321" s="795"/>
      <c r="E321" s="294"/>
      <c r="F321" s="326" t="str">
        <f>INDEX(PT_DIFFERENTIATION_VTAR,MATCH(A321,PT_DIFFERENTIATION_VTAR_ID,0))</f>
        <v>Тариф на водоотведение</v>
      </c>
      <c r="G321" s="785" t="str">
        <f>INDEX(PT_DIFFERENTIATION_NTAR,MATCH(B321,PT_DIFFERENTIATION_NTAR_ID,0))</f>
        <v/>
      </c>
      <c r="H321" s="132"/>
      <c r="I321" s="798"/>
      <c r="J321" s="799"/>
      <c r="K321" s="262"/>
      <c r="L321" s="132" t="s">
        <v>311</v>
      </c>
      <c r="M321" s="806"/>
      <c r="N321" s="801"/>
      <c r="O321" s="150"/>
      <c r="P321" s="150"/>
      <c r="AH321" s="42">
        <v>0</v>
      </c>
    </row>
    <row r="322" s="42" customFormat="1" ht="18.75" hidden="1" customHeight="1" spans="1:34">
      <c r="A322" s="80"/>
      <c r="B322" s="80"/>
      <c r="C322" s="784" t="s">
        <v>1168</v>
      </c>
      <c r="D322" s="795"/>
      <c r="E322" s="294"/>
      <c r="F322" s="326"/>
      <c r="G322" s="785"/>
      <c r="H322" s="598"/>
      <c r="I322" s="331" t="s">
        <v>1167</v>
      </c>
      <c r="J322" s="775"/>
      <c r="K322" s="598"/>
      <c r="L322" s="577"/>
      <c r="M322" s="806"/>
      <c r="N322" s="801"/>
      <c r="O322" s="150"/>
      <c r="P322" s="150"/>
      <c r="AH322" s="42">
        <v>0</v>
      </c>
    </row>
    <row r="323" s="42" customFormat="1" ht="0.75" hidden="1" customHeight="1" spans="1:34">
      <c r="A323" s="80"/>
      <c r="B323" s="80"/>
      <c r="C323" s="784" t="s">
        <v>1175</v>
      </c>
      <c r="D323" s="795"/>
      <c r="E323" s="294"/>
      <c r="F323" s="326"/>
      <c r="G323" s="794"/>
      <c r="H323" s="598"/>
      <c r="I323" s="331"/>
      <c r="J323" s="775"/>
      <c r="K323" s="598"/>
      <c r="L323" s="577"/>
      <c r="M323" s="806"/>
      <c r="N323" s="801"/>
      <c r="O323" s="150"/>
      <c r="P323" s="150"/>
      <c r="AH323" s="42">
        <v>0</v>
      </c>
    </row>
    <row r="324" s="42" customFormat="1" ht="18.75" hidden="1" customHeight="1" spans="1:34">
      <c r="A324" s="80" t="s">
        <v>275</v>
      </c>
      <c r="B324" s="80" t="s">
        <v>276</v>
      </c>
      <c r="C324" s="784"/>
      <c r="D324" s="795"/>
      <c r="E324" s="294"/>
      <c r="F324" s="326" t="str">
        <f>INDEX(PT_DIFFERENTIATION_VTAR,MATCH(A324,PT_DIFFERENTIATION_VTAR_ID,0))</f>
        <v>Тариф на транспортировку сточных вод</v>
      </c>
      <c r="G324" s="785" t="str">
        <f>INDEX(PT_DIFFERENTIATION_NTAR,MATCH(B324,PT_DIFFERENTIATION_NTAR_ID,0))</f>
        <v/>
      </c>
      <c r="H324" s="132"/>
      <c r="I324" s="798"/>
      <c r="J324" s="799"/>
      <c r="K324" s="262"/>
      <c r="L324" s="132" t="s">
        <v>311</v>
      </c>
      <c r="M324" s="806"/>
      <c r="N324" s="801"/>
      <c r="O324" s="150"/>
      <c r="P324" s="150"/>
      <c r="AH324" s="42">
        <v>0</v>
      </c>
    </row>
    <row r="325" s="42" customFormat="1" ht="18.75" hidden="1" customHeight="1" spans="1:34">
      <c r="A325" s="80"/>
      <c r="B325" s="80"/>
      <c r="C325" s="784" t="s">
        <v>1168</v>
      </c>
      <c r="D325" s="795"/>
      <c r="E325" s="294"/>
      <c r="F325" s="326"/>
      <c r="G325" s="785"/>
      <c r="H325" s="598"/>
      <c r="I325" s="331" t="s">
        <v>1167</v>
      </c>
      <c r="J325" s="775"/>
      <c r="K325" s="598"/>
      <c r="L325" s="577"/>
      <c r="M325" s="806"/>
      <c r="N325" s="801"/>
      <c r="O325" s="150"/>
      <c r="P325" s="150"/>
      <c r="AH325" s="42">
        <v>0</v>
      </c>
    </row>
    <row r="326" s="42" customFormat="1" ht="0.75" hidden="1" customHeight="1" spans="1:34">
      <c r="A326" s="80"/>
      <c r="B326" s="80"/>
      <c r="C326" s="784" t="s">
        <v>1175</v>
      </c>
      <c r="D326" s="795"/>
      <c r="E326" s="294"/>
      <c r="F326" s="326"/>
      <c r="G326" s="794"/>
      <c r="H326" s="598"/>
      <c r="I326" s="331"/>
      <c r="J326" s="775"/>
      <c r="K326" s="598"/>
      <c r="L326" s="577"/>
      <c r="M326" s="806"/>
      <c r="N326" s="801"/>
      <c r="O326" s="150"/>
      <c r="P326" s="150"/>
      <c r="AH326" s="42">
        <v>0</v>
      </c>
    </row>
    <row r="327" s="42" customFormat="1" ht="18.75" hidden="1" customHeight="1" spans="1:34">
      <c r="A327" s="80" t="s">
        <v>280</v>
      </c>
      <c r="B327" s="80" t="s">
        <v>281</v>
      </c>
      <c r="C327" s="784"/>
      <c r="D327" s="795"/>
      <c r="E327" s="294"/>
      <c r="F327" s="326" t="str">
        <f>INDEX(PT_DIFFERENTIATION_VTAR,MATCH(A327,PT_DIFFERENTIATION_VTAR_ID,0))</f>
        <v>Тариф на подключение (технологическое присоединение) к централизованной системе водоотведения</v>
      </c>
      <c r="G327" s="785" t="str">
        <f>INDEX(PT_DIFFERENTIATION_NTAR,MATCH(B327,PT_DIFFERENTIATION_NTAR_ID,0))</f>
        <v/>
      </c>
      <c r="H327" s="132"/>
      <c r="I327" s="798"/>
      <c r="J327" s="799"/>
      <c r="K327" s="262"/>
      <c r="L327" s="132" t="s">
        <v>311</v>
      </c>
      <c r="M327" s="806"/>
      <c r="N327" s="801"/>
      <c r="O327" s="150"/>
      <c r="P327" s="150"/>
      <c r="AH327" s="42">
        <v>0</v>
      </c>
    </row>
    <row r="328" s="42" customFormat="1" ht="18.75" hidden="1" customHeight="1" spans="1:34">
      <c r="A328" s="80"/>
      <c r="B328" s="80"/>
      <c r="C328" s="784" t="s">
        <v>1168</v>
      </c>
      <c r="D328" s="795"/>
      <c r="E328" s="294"/>
      <c r="F328" s="326"/>
      <c r="G328" s="785"/>
      <c r="H328" s="598"/>
      <c r="I328" s="331" t="s">
        <v>1167</v>
      </c>
      <c r="J328" s="775"/>
      <c r="K328" s="598"/>
      <c r="L328" s="577"/>
      <c r="M328" s="806"/>
      <c r="N328" s="801"/>
      <c r="O328" s="150"/>
      <c r="P328" s="150"/>
      <c r="AH328" s="42">
        <v>0</v>
      </c>
    </row>
    <row r="329" s="42" customFormat="1" ht="1.05" customHeight="1" spans="1:34">
      <c r="A329" s="80"/>
      <c r="B329" s="80"/>
      <c r="C329" s="784" t="s">
        <v>1175</v>
      </c>
      <c r="D329" s="795"/>
      <c r="E329" s="294"/>
      <c r="F329" s="326"/>
      <c r="G329" s="794"/>
      <c r="H329" s="598"/>
      <c r="I329" s="331"/>
      <c r="J329" s="775"/>
      <c r="K329" s="598"/>
      <c r="L329" s="577"/>
      <c r="M329" s="806"/>
      <c r="N329" s="801"/>
      <c r="O329" s="150"/>
      <c r="P329" s="150"/>
      <c r="AH329" s="42">
        <v>1</v>
      </c>
    </row>
    <row r="330" s="80" customFormat="1" ht="3" customHeight="1" spans="5:34">
      <c r="E330" s="807"/>
      <c r="F330" s="807"/>
      <c r="G330" s="807"/>
      <c r="H330" s="807"/>
      <c r="I330" s="807"/>
      <c r="J330" s="807"/>
      <c r="K330" s="807"/>
      <c r="L330" s="807"/>
      <c r="M330" s="807"/>
      <c r="O330" s="151"/>
      <c r="P330" s="151"/>
      <c r="AH330" s="80">
        <v>3</v>
      </c>
    </row>
    <row r="331" ht="26.25" customHeight="1" spans="5:34">
      <c r="E331" s="808"/>
      <c r="F331" s="119"/>
      <c r="G331" s="119"/>
      <c r="H331" s="119"/>
      <c r="I331" s="119"/>
      <c r="J331" s="119"/>
      <c r="K331" s="119"/>
      <c r="L331" s="119"/>
      <c r="M331" s="119"/>
      <c r="AH331" s="42">
        <v>25</v>
      </c>
    </row>
    <row r="332" hidden="1" customHeight="1" spans="1:34">
      <c r="A332" s="783" t="s">
        <v>83</v>
      </c>
      <c r="B332" s="783">
        <v>0</v>
      </c>
      <c r="C332" s="784">
        <v>0</v>
      </c>
      <c r="D332" s="40">
        <v>3</v>
      </c>
      <c r="E332" s="42">
        <v>6</v>
      </c>
      <c r="F332" s="42">
        <v>46</v>
      </c>
      <c r="G332" s="42">
        <v>35</v>
      </c>
      <c r="H332" s="42">
        <v>3</v>
      </c>
      <c r="I332" s="42">
        <v>11</v>
      </c>
      <c r="J332" s="42">
        <v>11</v>
      </c>
      <c r="K332" s="42">
        <v>35</v>
      </c>
      <c r="L332" s="42">
        <v>35</v>
      </c>
      <c r="M332" s="42">
        <v>84</v>
      </c>
      <c r="N332" s="42">
        <v>10</v>
      </c>
      <c r="O332" s="150">
        <v>10</v>
      </c>
      <c r="P332" s="150">
        <v>10</v>
      </c>
      <c r="Q332" s="42">
        <v>10</v>
      </c>
      <c r="R332" s="42">
        <v>10</v>
      </c>
      <c r="S332" s="42">
        <v>10</v>
      </c>
      <c r="T332" s="42">
        <v>10</v>
      </c>
      <c r="U332" s="42">
        <v>10</v>
      </c>
      <c r="V332" s="42">
        <v>10</v>
      </c>
      <c r="W332" s="42">
        <v>10</v>
      </c>
      <c r="X332" s="42">
        <v>10</v>
      </c>
      <c r="Y332" s="42">
        <v>10</v>
      </c>
      <c r="Z332" s="42">
        <v>10</v>
      </c>
      <c r="AA332" s="42">
        <v>10</v>
      </c>
      <c r="AB332" s="42">
        <v>10</v>
      </c>
      <c r="AC332" s="42">
        <v>10</v>
      </c>
      <c r="AD332" s="42">
        <v>10</v>
      </c>
      <c r="AE332" s="42">
        <v>10</v>
      </c>
      <c r="AF332" s="42">
        <v>10</v>
      </c>
      <c r="AG332" s="42">
        <v>10</v>
      </c>
      <c r="AH332" s="42">
        <v>14</v>
      </c>
    </row>
  </sheetData>
  <sheetProtection formatColumns="0" formatRows="0" insertRows="0" deleteColumns="0" deleteRows="0" sort="0" autoFilter="0"/>
  <mergeCells count="428">
    <mergeCell ref="E14:L14"/>
    <mergeCell ref="G16:L16"/>
    <mergeCell ref="G17:L17"/>
    <mergeCell ref="E19:L19"/>
    <mergeCell ref="H20:J20"/>
    <mergeCell ref="H21:I21"/>
    <mergeCell ref="H22:I22"/>
    <mergeCell ref="F23:L23"/>
    <mergeCell ref="F84:L84"/>
    <mergeCell ref="H85:I85"/>
    <mergeCell ref="F86:L86"/>
    <mergeCell ref="F147:L147"/>
    <mergeCell ref="F208:L208"/>
    <mergeCell ref="F269:L269"/>
    <mergeCell ref="F331:M331"/>
    <mergeCell ref="D24:D26"/>
    <mergeCell ref="D27:D29"/>
    <mergeCell ref="D30:D32"/>
    <mergeCell ref="D33:D35"/>
    <mergeCell ref="D36:D38"/>
    <mergeCell ref="D39:D41"/>
    <mergeCell ref="D42:D44"/>
    <mergeCell ref="D45:D47"/>
    <mergeCell ref="D48:D50"/>
    <mergeCell ref="D51:D53"/>
    <mergeCell ref="D54:D56"/>
    <mergeCell ref="D57:D59"/>
    <mergeCell ref="D60:D62"/>
    <mergeCell ref="D63:D65"/>
    <mergeCell ref="D66:D68"/>
    <mergeCell ref="D69:D71"/>
    <mergeCell ref="D72:D74"/>
    <mergeCell ref="D75:D77"/>
    <mergeCell ref="D78:D80"/>
    <mergeCell ref="D81:D83"/>
    <mergeCell ref="D87:D89"/>
    <mergeCell ref="D90:D92"/>
    <mergeCell ref="D93:D95"/>
    <mergeCell ref="D96:D98"/>
    <mergeCell ref="D99:D101"/>
    <mergeCell ref="D102:D104"/>
    <mergeCell ref="D105:D107"/>
    <mergeCell ref="D108:D110"/>
    <mergeCell ref="D111:D113"/>
    <mergeCell ref="D114:D116"/>
    <mergeCell ref="D117:D119"/>
    <mergeCell ref="D120:D122"/>
    <mergeCell ref="D123:D125"/>
    <mergeCell ref="D126:D128"/>
    <mergeCell ref="D129:D131"/>
    <mergeCell ref="D132:D134"/>
    <mergeCell ref="D135:D137"/>
    <mergeCell ref="D138:D140"/>
    <mergeCell ref="D141:D143"/>
    <mergeCell ref="D144:D146"/>
    <mergeCell ref="D148:D150"/>
    <mergeCell ref="D151:D153"/>
    <mergeCell ref="D154:D156"/>
    <mergeCell ref="D157:D159"/>
    <mergeCell ref="D160:D162"/>
    <mergeCell ref="D163:D165"/>
    <mergeCell ref="D166:D168"/>
    <mergeCell ref="D169:D171"/>
    <mergeCell ref="D172:D174"/>
    <mergeCell ref="D175:D177"/>
    <mergeCell ref="D178:D180"/>
    <mergeCell ref="D181:D183"/>
    <mergeCell ref="D184:D186"/>
    <mergeCell ref="D187:D189"/>
    <mergeCell ref="D190:D192"/>
    <mergeCell ref="D193:D195"/>
    <mergeCell ref="D196:D198"/>
    <mergeCell ref="D199:D201"/>
    <mergeCell ref="D202:D204"/>
    <mergeCell ref="D205:D207"/>
    <mergeCell ref="D209:D211"/>
    <mergeCell ref="D212:D214"/>
    <mergeCell ref="D215:D217"/>
    <mergeCell ref="D218:D220"/>
    <mergeCell ref="D221:D223"/>
    <mergeCell ref="D224:D226"/>
    <mergeCell ref="D227:D229"/>
    <mergeCell ref="D230:D232"/>
    <mergeCell ref="D233:D235"/>
    <mergeCell ref="D236:D238"/>
    <mergeCell ref="D239:D241"/>
    <mergeCell ref="D242:D244"/>
    <mergeCell ref="D245:D247"/>
    <mergeCell ref="D248:D250"/>
    <mergeCell ref="D251:D253"/>
    <mergeCell ref="D254:D256"/>
    <mergeCell ref="D257:D259"/>
    <mergeCell ref="D260:D262"/>
    <mergeCell ref="D263:D265"/>
    <mergeCell ref="D266:D268"/>
    <mergeCell ref="D270:D272"/>
    <mergeCell ref="D273:D275"/>
    <mergeCell ref="D276:D278"/>
    <mergeCell ref="D279:D281"/>
    <mergeCell ref="D282:D284"/>
    <mergeCell ref="D285:D287"/>
    <mergeCell ref="D288:D290"/>
    <mergeCell ref="D291:D293"/>
    <mergeCell ref="D294:D296"/>
    <mergeCell ref="D297:D299"/>
    <mergeCell ref="D300:D302"/>
    <mergeCell ref="D303:D305"/>
    <mergeCell ref="D306:D308"/>
    <mergeCell ref="D309:D311"/>
    <mergeCell ref="D312:D314"/>
    <mergeCell ref="D315:D317"/>
    <mergeCell ref="D318:D320"/>
    <mergeCell ref="D321:D323"/>
    <mergeCell ref="D324:D326"/>
    <mergeCell ref="D327:D329"/>
    <mergeCell ref="E20:E21"/>
    <mergeCell ref="E24:E26"/>
    <mergeCell ref="E27:E29"/>
    <mergeCell ref="E30:E32"/>
    <mergeCell ref="E33:E35"/>
    <mergeCell ref="E36:E38"/>
    <mergeCell ref="E39:E41"/>
    <mergeCell ref="E42:E44"/>
    <mergeCell ref="E45:E47"/>
    <mergeCell ref="E48:E50"/>
    <mergeCell ref="E51:E53"/>
    <mergeCell ref="E54:E56"/>
    <mergeCell ref="E57:E59"/>
    <mergeCell ref="E60:E62"/>
    <mergeCell ref="E63:E65"/>
    <mergeCell ref="E66:E68"/>
    <mergeCell ref="E69:E71"/>
    <mergeCell ref="E72:E74"/>
    <mergeCell ref="E75:E77"/>
    <mergeCell ref="E78:E80"/>
    <mergeCell ref="E81:E83"/>
    <mergeCell ref="E87:E89"/>
    <mergeCell ref="E90:E92"/>
    <mergeCell ref="E93:E95"/>
    <mergeCell ref="E96:E98"/>
    <mergeCell ref="E99:E101"/>
    <mergeCell ref="E102:E104"/>
    <mergeCell ref="E105:E107"/>
    <mergeCell ref="E108:E110"/>
    <mergeCell ref="E111:E113"/>
    <mergeCell ref="E114:E116"/>
    <mergeCell ref="E117:E119"/>
    <mergeCell ref="E120:E122"/>
    <mergeCell ref="E123:E125"/>
    <mergeCell ref="E126:E128"/>
    <mergeCell ref="E129:E131"/>
    <mergeCell ref="E132:E134"/>
    <mergeCell ref="E135:E137"/>
    <mergeCell ref="E138:E140"/>
    <mergeCell ref="E141:E143"/>
    <mergeCell ref="E144:E146"/>
    <mergeCell ref="E148:E150"/>
    <mergeCell ref="E151:E153"/>
    <mergeCell ref="E154:E156"/>
    <mergeCell ref="E157:E159"/>
    <mergeCell ref="E160:E162"/>
    <mergeCell ref="E163:E165"/>
    <mergeCell ref="E166:E168"/>
    <mergeCell ref="E169:E171"/>
    <mergeCell ref="E172:E174"/>
    <mergeCell ref="E175:E177"/>
    <mergeCell ref="E178:E180"/>
    <mergeCell ref="E181:E183"/>
    <mergeCell ref="E184:E186"/>
    <mergeCell ref="E187:E189"/>
    <mergeCell ref="E190:E192"/>
    <mergeCell ref="E193:E195"/>
    <mergeCell ref="E196:E198"/>
    <mergeCell ref="E199:E201"/>
    <mergeCell ref="E202:E204"/>
    <mergeCell ref="E205:E207"/>
    <mergeCell ref="E209:E211"/>
    <mergeCell ref="E212:E214"/>
    <mergeCell ref="E215:E217"/>
    <mergeCell ref="E218:E220"/>
    <mergeCell ref="E221:E223"/>
    <mergeCell ref="E224:E226"/>
    <mergeCell ref="E227:E229"/>
    <mergeCell ref="E230:E232"/>
    <mergeCell ref="E233:E235"/>
    <mergeCell ref="E236:E238"/>
    <mergeCell ref="E239:E241"/>
    <mergeCell ref="E242:E244"/>
    <mergeCell ref="E245:E247"/>
    <mergeCell ref="E248:E250"/>
    <mergeCell ref="E251:E253"/>
    <mergeCell ref="E254:E256"/>
    <mergeCell ref="E257:E259"/>
    <mergeCell ref="E260:E262"/>
    <mergeCell ref="E263:E265"/>
    <mergeCell ref="E266:E268"/>
    <mergeCell ref="E270:E272"/>
    <mergeCell ref="E273:E275"/>
    <mergeCell ref="E276:E278"/>
    <mergeCell ref="E279:E281"/>
    <mergeCell ref="E282:E284"/>
    <mergeCell ref="E285:E287"/>
    <mergeCell ref="E288:E290"/>
    <mergeCell ref="E291:E293"/>
    <mergeCell ref="E294:E296"/>
    <mergeCell ref="E297:E299"/>
    <mergeCell ref="E300:E302"/>
    <mergeCell ref="E303:E305"/>
    <mergeCell ref="E306:E308"/>
    <mergeCell ref="E309:E311"/>
    <mergeCell ref="E312:E314"/>
    <mergeCell ref="E315:E317"/>
    <mergeCell ref="E318:E320"/>
    <mergeCell ref="E321:E323"/>
    <mergeCell ref="E324:E326"/>
    <mergeCell ref="E327:E329"/>
    <mergeCell ref="F20:F21"/>
    <mergeCell ref="F24:F26"/>
    <mergeCell ref="F27:F29"/>
    <mergeCell ref="F30:F32"/>
    <mergeCell ref="F33:F35"/>
    <mergeCell ref="F36:F38"/>
    <mergeCell ref="F39:F41"/>
    <mergeCell ref="F42:F44"/>
    <mergeCell ref="F45:F47"/>
    <mergeCell ref="F48:F50"/>
    <mergeCell ref="F51:F53"/>
    <mergeCell ref="F54:F56"/>
    <mergeCell ref="F57:F59"/>
    <mergeCell ref="F60:F62"/>
    <mergeCell ref="F63:F65"/>
    <mergeCell ref="F66:F68"/>
    <mergeCell ref="F69:F71"/>
    <mergeCell ref="F72:F74"/>
    <mergeCell ref="F75:F77"/>
    <mergeCell ref="F78:F80"/>
    <mergeCell ref="F81:F83"/>
    <mergeCell ref="F87:F89"/>
    <mergeCell ref="F90:F92"/>
    <mergeCell ref="F93:F95"/>
    <mergeCell ref="F96:F98"/>
    <mergeCell ref="F99:F101"/>
    <mergeCell ref="F102:F104"/>
    <mergeCell ref="F105:F107"/>
    <mergeCell ref="F108:F110"/>
    <mergeCell ref="F111:F113"/>
    <mergeCell ref="F114:F116"/>
    <mergeCell ref="F117:F119"/>
    <mergeCell ref="F120:F122"/>
    <mergeCell ref="F123:F125"/>
    <mergeCell ref="F126:F128"/>
    <mergeCell ref="F129:F131"/>
    <mergeCell ref="F132:F134"/>
    <mergeCell ref="F135:F137"/>
    <mergeCell ref="F138:F140"/>
    <mergeCell ref="F141:F143"/>
    <mergeCell ref="F144:F146"/>
    <mergeCell ref="F148:F150"/>
    <mergeCell ref="F151:F153"/>
    <mergeCell ref="F154:F156"/>
    <mergeCell ref="F157:F159"/>
    <mergeCell ref="F160:F162"/>
    <mergeCell ref="F163:F165"/>
    <mergeCell ref="F166:F168"/>
    <mergeCell ref="F169:F171"/>
    <mergeCell ref="F172:F174"/>
    <mergeCell ref="F175:F177"/>
    <mergeCell ref="F178:F180"/>
    <mergeCell ref="F181:F183"/>
    <mergeCell ref="F184:F186"/>
    <mergeCell ref="F187:F189"/>
    <mergeCell ref="F190:F192"/>
    <mergeCell ref="F193:F195"/>
    <mergeCell ref="F196:F198"/>
    <mergeCell ref="F199:F201"/>
    <mergeCell ref="F202:F204"/>
    <mergeCell ref="F205:F207"/>
    <mergeCell ref="F209:F211"/>
    <mergeCell ref="F212:F214"/>
    <mergeCell ref="F215:F217"/>
    <mergeCell ref="F218:F220"/>
    <mergeCell ref="F221:F223"/>
    <mergeCell ref="F224:F226"/>
    <mergeCell ref="F227:F229"/>
    <mergeCell ref="F230:F232"/>
    <mergeCell ref="F233:F235"/>
    <mergeCell ref="F236:F238"/>
    <mergeCell ref="F239:F241"/>
    <mergeCell ref="F242:F244"/>
    <mergeCell ref="F245:F247"/>
    <mergeCell ref="F248:F250"/>
    <mergeCell ref="F251:F253"/>
    <mergeCell ref="F254:F256"/>
    <mergeCell ref="F257:F259"/>
    <mergeCell ref="F260:F262"/>
    <mergeCell ref="F263:F265"/>
    <mergeCell ref="F266:F268"/>
    <mergeCell ref="F270:F272"/>
    <mergeCell ref="F273:F275"/>
    <mergeCell ref="F276:F278"/>
    <mergeCell ref="F279:F281"/>
    <mergeCell ref="F282:F284"/>
    <mergeCell ref="F285:F287"/>
    <mergeCell ref="F288:F290"/>
    <mergeCell ref="F291:F293"/>
    <mergeCell ref="F294:F296"/>
    <mergeCell ref="F297:F299"/>
    <mergeCell ref="F300:F302"/>
    <mergeCell ref="F303:F305"/>
    <mergeCell ref="F306:F308"/>
    <mergeCell ref="F309:F311"/>
    <mergeCell ref="F312:F314"/>
    <mergeCell ref="F315:F317"/>
    <mergeCell ref="F318:F320"/>
    <mergeCell ref="F321:F323"/>
    <mergeCell ref="F324:F326"/>
    <mergeCell ref="F327:F329"/>
    <mergeCell ref="G2:G3"/>
    <mergeCell ref="G5:G6"/>
    <mergeCell ref="G20:G21"/>
    <mergeCell ref="G24:G25"/>
    <mergeCell ref="G27:G28"/>
    <mergeCell ref="G30:G31"/>
    <mergeCell ref="G33:G34"/>
    <mergeCell ref="G36:G37"/>
    <mergeCell ref="G39:G40"/>
    <mergeCell ref="G42:G43"/>
    <mergeCell ref="G45:G46"/>
    <mergeCell ref="G48:G49"/>
    <mergeCell ref="G51:G52"/>
    <mergeCell ref="G54:G55"/>
    <mergeCell ref="G57:G58"/>
    <mergeCell ref="G60:G61"/>
    <mergeCell ref="G63:G64"/>
    <mergeCell ref="G66:G67"/>
    <mergeCell ref="G69:G70"/>
    <mergeCell ref="G72:G73"/>
    <mergeCell ref="G75:G76"/>
    <mergeCell ref="G78:G79"/>
    <mergeCell ref="G81:G82"/>
    <mergeCell ref="G87:G88"/>
    <mergeCell ref="G90:G91"/>
    <mergeCell ref="G93:G94"/>
    <mergeCell ref="G96:G97"/>
    <mergeCell ref="G99:G100"/>
    <mergeCell ref="G102:G103"/>
    <mergeCell ref="G105:G106"/>
    <mergeCell ref="G108:G109"/>
    <mergeCell ref="G111:G112"/>
    <mergeCell ref="G114:G115"/>
    <mergeCell ref="G117:G118"/>
    <mergeCell ref="G120:G121"/>
    <mergeCell ref="G123:G124"/>
    <mergeCell ref="G126:G127"/>
    <mergeCell ref="G129:G130"/>
    <mergeCell ref="G132:G133"/>
    <mergeCell ref="G135:G136"/>
    <mergeCell ref="G138:G139"/>
    <mergeCell ref="G141:G142"/>
    <mergeCell ref="G144:G145"/>
    <mergeCell ref="G148:G149"/>
    <mergeCell ref="G151:G152"/>
    <mergeCell ref="G154:G155"/>
    <mergeCell ref="G157:G158"/>
    <mergeCell ref="G160:G161"/>
    <mergeCell ref="G163:G164"/>
    <mergeCell ref="G166:G167"/>
    <mergeCell ref="G169:G170"/>
    <mergeCell ref="G172:G173"/>
    <mergeCell ref="G175:G176"/>
    <mergeCell ref="G178:G179"/>
    <mergeCell ref="G181:G182"/>
    <mergeCell ref="G184:G185"/>
    <mergeCell ref="G187:G188"/>
    <mergeCell ref="G190:G191"/>
    <mergeCell ref="G193:G194"/>
    <mergeCell ref="G196:G197"/>
    <mergeCell ref="G199:G200"/>
    <mergeCell ref="G202:G203"/>
    <mergeCell ref="G205:G206"/>
    <mergeCell ref="G209:G210"/>
    <mergeCell ref="G212:G213"/>
    <mergeCell ref="G215:G216"/>
    <mergeCell ref="G218:G219"/>
    <mergeCell ref="G221:G222"/>
    <mergeCell ref="G224:G225"/>
    <mergeCell ref="G227:G228"/>
    <mergeCell ref="G230:G231"/>
    <mergeCell ref="G233:G234"/>
    <mergeCell ref="G236:G237"/>
    <mergeCell ref="G239:G240"/>
    <mergeCell ref="G242:G243"/>
    <mergeCell ref="G245:G246"/>
    <mergeCell ref="G248:G249"/>
    <mergeCell ref="G251:G252"/>
    <mergeCell ref="G254:G255"/>
    <mergeCell ref="G257:G258"/>
    <mergeCell ref="G260:G261"/>
    <mergeCell ref="G263:G264"/>
    <mergeCell ref="G266:G267"/>
    <mergeCell ref="G270:G271"/>
    <mergeCell ref="G273:G274"/>
    <mergeCell ref="G276:G277"/>
    <mergeCell ref="G279:G280"/>
    <mergeCell ref="G282:G283"/>
    <mergeCell ref="G285:G286"/>
    <mergeCell ref="G288:G289"/>
    <mergeCell ref="G291:G292"/>
    <mergeCell ref="G294:G295"/>
    <mergeCell ref="G297:G298"/>
    <mergeCell ref="G300:G301"/>
    <mergeCell ref="G303:G304"/>
    <mergeCell ref="G306:G307"/>
    <mergeCell ref="G309:G310"/>
    <mergeCell ref="G312:G313"/>
    <mergeCell ref="G315:G316"/>
    <mergeCell ref="G318:G319"/>
    <mergeCell ref="G321:G322"/>
    <mergeCell ref="G324:G325"/>
    <mergeCell ref="G327:G328"/>
    <mergeCell ref="K20:K21"/>
    <mergeCell ref="L20:L21"/>
    <mergeCell ref="M19:M21"/>
    <mergeCell ref="M24:M83"/>
    <mergeCell ref="M87:M90"/>
    <mergeCell ref="M148:M151"/>
    <mergeCell ref="M209:M212"/>
    <mergeCell ref="M270:M27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J2 I5:J5 I8:J8 I10:J10 I24:J24 I27:J27 I30:J30 I33:J33 I36:J36 I39:J39 I42:J42 I45:J45 I48:J48 I51:J51 I54:J54 I57:J57 I60:J60 I63:J63 I66:J66 I69:J69 I72:J72 I75:J75 I78:J78 I81:J81 I87:J87 I90:J90 I93:J93 I96:J96 I99:J99 I102:J102 I105:J105 I108:J108 I111:J111 I114:J114 I117:J117 I120:J120 I123:J123 I126:J126 I129:J129 I132:J132 I135:J135 I138:J138 I141:J141 I144:J144 I148:J148 I151:J151 I154:J154 I157:J157 I160:J160 I163:J163 I166:J166 I169:J169 I172:J172 I175:J175 I178:J178 I181:J181 I184:J184 I187:J187 I190:J190 I193:J193 I196:J196 I199:J199 I202:J202 I205:J205 I209:J209 I212:J212 I215:J215 I218:J218 I221:J221 I224:J224 I227:J227 I230:J230 I233:J233 I236:J236 I239:J239 I242:J242 I245:J245 I248:J248 I251:J251 I254:J254 I257:J257 I260:J260 I263:J263 I266:J266 I270:J270 I273:J273 I276:J276 I279:J279 I282:J282 I285:J285 I288:J288 I291:J291 I294:J294 I297:J297 I300:J300 I303:J303 I306:J306 I309:J309 I312:J312 I315:J315 I318:J318 I321:J321 I324:J324 I327:J327"/>
    <dataValidation type="decimal" operator="between" allowBlank="1" showErrorMessage="1" errorTitle="Ошибка" error="Допускается ввод только действительных чисел!" sqref="K5 K10 K87 K90 K93 K96 K99 K102 K105 K108 K111 K114 K117 K120 K123 K126 K129 K132 K135 K138 K141 K144 K148 K151 K154 K157 K160 K163 K166 K169 K172 K175 K178 K181 K184 K187 K190 K193 K196 K199 K202 K205 K209 K212 K215 K218 K221 K224 K227 K230 K233 K236 K239 K242 K245 K248 K251 K254 K257 K260 K263 K266 K270 K273 K276 K279 K282 K285 K288 K291 K294 K297 K300 K303 K306 K309 K312 K315 K318 K321 K324 K32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23 M87:M88 M148:M149 M209:M210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s>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R17"/>
  <sheetViews>
    <sheetView showGridLines="0" zoomScale="90" zoomScaleNormal="90" workbookViewId="0">
      <pane xSplit="5" ySplit="9" topLeftCell="F10"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39" hidden="1" customWidth="1"/>
    <col min="2" max="2" width="9.14285714285714" style="37" hidden="1" customWidth="1"/>
    <col min="3" max="3" width="3" style="40" customWidth="1"/>
    <col min="4" max="4" width="6" style="42" customWidth="1"/>
    <col min="5" max="5" width="53" style="42" customWidth="1"/>
    <col min="6" max="7" width="35" style="42" customWidth="1"/>
    <col min="8" max="8" width="89" style="42" customWidth="1"/>
    <col min="9" max="9" width="10" style="42" customWidth="1"/>
    <col min="10" max="11" width="10" style="150" customWidth="1"/>
    <col min="12" max="17" width="10" style="42" customWidth="1"/>
    <col min="18" max="18" width="10.5714285714286" style="42" hidden="1"/>
  </cols>
  <sheetData>
    <row r="1" ht="22.5" hidden="1" customHeight="1" spans="14:18">
      <c r="N1" s="782"/>
      <c r="O1" s="782"/>
      <c r="Q1" s="782"/>
      <c r="R1" s="42" t="s">
        <v>14</v>
      </c>
    </row>
    <row r="2" s="42" customFormat="1" ht="18.75" hidden="1" customHeight="1" spans="1:18">
      <c r="A2" s="80"/>
      <c r="B2" s="37"/>
      <c r="C2" s="650" t="s">
        <v>521</v>
      </c>
      <c r="D2" s="294"/>
      <c r="E2" s="242"/>
      <c r="F2" s="467"/>
      <c r="G2" s="575"/>
      <c r="I2" s="150"/>
      <c r="J2" s="150"/>
      <c r="R2" s="42">
        <v>0</v>
      </c>
    </row>
    <row r="3" hidden="1" customHeight="1" spans="18:18">
      <c r="R3" s="42">
        <v>0</v>
      </c>
    </row>
    <row r="4" ht="6.3" customHeight="1" spans="3:18">
      <c r="C4" s="50"/>
      <c r="D4" s="52"/>
      <c r="E4" s="52"/>
      <c r="F4" s="52"/>
      <c r="G4" s="766"/>
      <c r="H4" s="766"/>
      <c r="R4" s="42">
        <v>6</v>
      </c>
    </row>
    <row r="5" ht="34.5" customHeight="1" spans="3:18">
      <c r="C5" s="50"/>
      <c r="D5" s="767"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768"/>
      <c r="F5" s="768"/>
      <c r="G5" s="769"/>
      <c r="H5" s="578"/>
      <c r="R5" s="42">
        <v>33</v>
      </c>
    </row>
    <row r="6" s="42" customFormat="1" ht="18" customHeight="1" spans="1:18">
      <c r="A6" s="39"/>
      <c r="B6" s="37"/>
      <c r="C6" s="50"/>
      <c r="D6" s="770" t="str">
        <f>IF(org=0,"Не определено",org)</f>
        <v>АО "ОЭЗ ППТ "Алабуга"</v>
      </c>
      <c r="E6" s="621"/>
      <c r="F6" s="621"/>
      <c r="G6" s="771"/>
      <c r="H6" s="578"/>
      <c r="J6" s="150"/>
      <c r="K6" s="150"/>
      <c r="R6" s="42">
        <v>17</v>
      </c>
    </row>
    <row r="7" ht="14.7" customHeight="1" spans="3:18">
      <c r="C7" s="50"/>
      <c r="D7" s="52"/>
      <c r="E7" s="659"/>
      <c r="F7" s="659"/>
      <c r="G7" s="574"/>
      <c r="H7" s="772"/>
      <c r="R7" s="42">
        <v>14</v>
      </c>
    </row>
    <row r="8" ht="14.7" customHeight="1" spans="3:18">
      <c r="C8" s="50"/>
      <c r="D8" s="65" t="s">
        <v>305</v>
      </c>
      <c r="E8" s="65"/>
      <c r="F8" s="65"/>
      <c r="G8" s="65"/>
      <c r="H8" s="211" t="s">
        <v>306</v>
      </c>
      <c r="R8" s="42">
        <v>14</v>
      </c>
    </row>
    <row r="9" ht="24" customHeight="1" spans="3:18">
      <c r="C9" s="50"/>
      <c r="D9" s="65" t="s">
        <v>89</v>
      </c>
      <c r="E9" s="130" t="s">
        <v>307</v>
      </c>
      <c r="F9" s="130" t="s">
        <v>308</v>
      </c>
      <c r="G9" s="130" t="s">
        <v>395</v>
      </c>
      <c r="H9" s="211"/>
      <c r="R9" s="42">
        <v>23</v>
      </c>
    </row>
    <row r="10" ht="14.7" customHeight="1" spans="1:18">
      <c r="A10" s="80"/>
      <c r="C10" s="50"/>
      <c r="D10" s="294" t="s">
        <v>111</v>
      </c>
      <c r="E10" s="77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467"/>
      <c r="G10" s="575"/>
      <c r="H10" s="580" t="s">
        <v>1176</v>
      </c>
      <c r="R10" s="42">
        <v>14</v>
      </c>
    </row>
    <row r="11" ht="14.7" customHeight="1" spans="1:18">
      <c r="A11" s="80"/>
      <c r="C11" s="50"/>
      <c r="D11" s="294" t="s">
        <v>112</v>
      </c>
      <c r="E11" s="77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467"/>
      <c r="G11" s="575"/>
      <c r="H11" s="774"/>
      <c r="R11" s="42">
        <v>14</v>
      </c>
    </row>
    <row r="12" ht="14.7" customHeight="1" spans="1:18">
      <c r="A12" s="80"/>
      <c r="C12" s="210"/>
      <c r="D12" s="294" t="s">
        <v>91</v>
      </c>
      <c r="E12" s="464" t="str">
        <f>"Сведения о планировании закупочных процедур"&amp;IF(TEMPLATE_SPHERE="TKO"," &lt;1&gt;","")</f>
        <v>Сведения о планировании закупочных процедур</v>
      </c>
      <c r="F12" s="467"/>
      <c r="G12" s="575"/>
      <c r="H12" s="7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150"/>
      <c r="K12" s="42"/>
      <c r="R12" s="42">
        <v>14</v>
      </c>
    </row>
    <row r="13" ht="14.7" customHeight="1" spans="1:18">
      <c r="A13" s="80"/>
      <c r="C13" s="210"/>
      <c r="D13" s="294" t="s">
        <v>92</v>
      </c>
      <c r="E13" s="464" t="str">
        <f>"Сведения о результатах проведения закупочных процедур"&amp;IF(TEMPLATE_SPHERE="TKO"," &lt;1&gt;","")</f>
        <v>Сведения о результатах проведения закупочных процедур</v>
      </c>
      <c r="F13" s="467"/>
      <c r="G13" s="575"/>
      <c r="H13" s="774"/>
      <c r="I13" s="150"/>
      <c r="K13" s="42"/>
      <c r="R13" s="42">
        <v>14</v>
      </c>
    </row>
    <row r="14" ht="14.7" customHeight="1" spans="1:18">
      <c r="A14" s="80"/>
      <c r="C14" s="50"/>
      <c r="D14" s="400"/>
      <c r="E14" s="331" t="s">
        <v>327</v>
      </c>
      <c r="F14" s="775"/>
      <c r="G14" s="577"/>
      <c r="H14" s="581"/>
      <c r="R14" s="42">
        <v>14</v>
      </c>
    </row>
    <row r="15" s="42" customFormat="1" ht="14.7" customHeight="1" spans="1:18">
      <c r="A15" s="80"/>
      <c r="B15" s="37"/>
      <c r="C15" s="50"/>
      <c r="D15" s="776"/>
      <c r="E15" s="777"/>
      <c r="F15" s="778"/>
      <c r="G15" s="779"/>
      <c r="H15" s="780"/>
      <c r="J15" s="150"/>
      <c r="K15" s="150"/>
      <c r="R15" s="42">
        <v>14</v>
      </c>
    </row>
    <row r="16" ht="14.7" customHeight="1" spans="4:18">
      <c r="D16" s="781"/>
      <c r="E16" s="119"/>
      <c r="F16" s="119"/>
      <c r="G16" s="119"/>
      <c r="H16" s="119"/>
      <c r="R16" s="42">
        <v>14</v>
      </c>
    </row>
    <row r="17" ht="22.5" hidden="1" customHeight="1" spans="1:18">
      <c r="A17" s="39" t="s">
        <v>83</v>
      </c>
      <c r="B17" s="37">
        <v>0</v>
      </c>
      <c r="C17" s="40">
        <v>3</v>
      </c>
      <c r="D17" s="42">
        <v>6</v>
      </c>
      <c r="E17" s="42">
        <v>53</v>
      </c>
      <c r="F17" s="42">
        <v>35</v>
      </c>
      <c r="G17" s="42">
        <v>35</v>
      </c>
      <c r="H17" s="42">
        <v>89</v>
      </c>
      <c r="I17" s="42">
        <v>10</v>
      </c>
      <c r="J17" s="150">
        <v>10</v>
      </c>
      <c r="K17" s="150">
        <v>10</v>
      </c>
      <c r="L17" s="42">
        <v>10</v>
      </c>
      <c r="M17" s="42">
        <v>10</v>
      </c>
      <c r="N17" s="42">
        <v>10</v>
      </c>
      <c r="O17" s="42">
        <v>10</v>
      </c>
      <c r="P17" s="42">
        <v>10</v>
      </c>
      <c r="Q17" s="42">
        <v>10</v>
      </c>
      <c r="R17" s="42">
        <v>23</v>
      </c>
    </row>
  </sheetData>
  <sheetProtection formatColumns="0" formatRows="0" insertRows="0" deleteColumns="0" deleteRows="0" sort="0" autoFilter="0"/>
  <mergeCells count="7">
    <mergeCell ref="D5:G5"/>
    <mergeCell ref="D6:G6"/>
    <mergeCell ref="D8:G8"/>
    <mergeCell ref="E16:H16"/>
    <mergeCell ref="H8:H9"/>
    <mergeCell ref="H10:H11"/>
    <mergeCell ref="H12:H14"/>
  </mergeCells>
  <dataValidations count="2">
    <dataValidation type="textLength" operator="lessThanOrEqual" allowBlank="1" showInputMessage="1" showErrorMessage="1" errorTitle="Ошибка" error="Допускается ввод не более 900 символов!" sqref="E2:F2 H10 E13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AR146"/>
  <sheetViews>
    <sheetView showGridLines="0" zoomScale="90" zoomScaleNormal="90" workbookViewId="0">
      <pane xSplit="6" ySplit="12" topLeftCell="G79" activePane="bottomRight" state="frozen"/>
      <selection/>
      <selection pane="topRight"/>
      <selection pane="bottomLeft"/>
      <selection pane="bottomRight" activeCell="N138" sqref="N138"/>
    </sheetView>
  </sheetViews>
  <sheetFormatPr defaultColWidth="9.14285714285714" defaultRowHeight="11.25" customHeight="1"/>
  <cols>
    <col min="1" max="2" width="3.71428571428571" style="150"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428571428571" style="35" hidden="1" customWidth="1"/>
    <col min="21" max="21" width="5.71428571428571" style="35" hidden="1" customWidth="1"/>
    <col min="22" max="22" width="34.4190476190476" style="35" hidden="1" customWidth="1"/>
    <col min="23" max="23" width="30" style="35" customWidth="1"/>
    <col min="24" max="24" width="3" style="35" customWidth="1"/>
    <col min="25" max="28" width="9.84761904761905" style="500" hidden="1" customWidth="1"/>
    <col min="29" max="29" width="27" style="500" hidden="1" customWidth="1"/>
    <col min="30" max="30" width="10.5714285714286" style="500" hidden="1" customWidth="1"/>
    <col min="31" max="31" width="10.7142857142857" style="500" hidden="1" customWidth="1"/>
    <col min="32" max="32" width="10" style="500" hidden="1" customWidth="1"/>
    <col min="33" max="33" width="12.847619047619" style="500" hidden="1" customWidth="1"/>
    <col min="34" max="34" width="24.4190476190476" style="500" hidden="1" customWidth="1"/>
    <col min="35" max="35" width="15.847619047619" style="500" hidden="1" customWidth="1"/>
    <col min="36" max="36" width="19.4190476190476" style="500" hidden="1" customWidth="1"/>
    <col min="37" max="37" width="11" style="500" hidden="1" customWidth="1"/>
    <col min="38" max="38" width="23.5714285714286" style="500" hidden="1" customWidth="1"/>
    <col min="39" max="39" width="23.847619047619" style="500" hidden="1" customWidth="1"/>
    <col min="40" max="40" width="25.2857142857143" style="500" hidden="1" customWidth="1"/>
    <col min="41" max="41" width="16.847619047619" style="500" hidden="1" customWidth="1"/>
    <col min="42" max="42" width="29.5714285714286" style="500" hidden="1" customWidth="1"/>
    <col min="43" max="43" width="29.847619047619" style="500" hidden="1" customWidth="1"/>
    <col min="44" max="44" width="9.14285714285714" style="35" hidden="1"/>
  </cols>
  <sheetData>
    <row r="1" hidden="1" customHeight="1" spans="44:44">
      <c r="AR1" s="35" t="s">
        <v>14</v>
      </c>
    </row>
    <row r="2" hidden="1" customHeight="1" spans="44:44">
      <c r="AR2" s="35">
        <v>0</v>
      </c>
    </row>
    <row r="3" hidden="1" customHeight="1" spans="44:44">
      <c r="AR3" s="35">
        <v>0</v>
      </c>
    </row>
    <row r="4" ht="3" customHeight="1" spans="44:44">
      <c r="AR4" s="35">
        <v>3</v>
      </c>
    </row>
    <row r="5" s="1253" customFormat="1" ht="30.45" customHeight="1" spans="1:44">
      <c r="A5" s="1255"/>
      <c r="B5" s="1255"/>
      <c r="D5" s="76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768"/>
      <c r="F5" s="768"/>
      <c r="G5" s="768"/>
      <c r="H5" s="768"/>
      <c r="I5" s="768"/>
      <c r="J5" s="769"/>
      <c r="K5" s="578"/>
      <c r="L5" s="120"/>
      <c r="M5" s="120"/>
      <c r="N5" s="120"/>
      <c r="O5" s="120"/>
      <c r="P5" s="120"/>
      <c r="Q5" s="120"/>
      <c r="R5" s="120"/>
      <c r="S5" s="120"/>
      <c r="T5" s="120"/>
      <c r="U5" s="120"/>
      <c r="V5" s="120"/>
      <c r="W5" s="120"/>
      <c r="Y5" s="1271"/>
      <c r="Z5" s="1271"/>
      <c r="AA5" s="1271"/>
      <c r="AB5" s="1271"/>
      <c r="AC5" s="1271"/>
      <c r="AD5" s="1271"/>
      <c r="AE5" s="1271"/>
      <c r="AF5" s="1271"/>
      <c r="AG5" s="1271"/>
      <c r="AH5" s="1271"/>
      <c r="AI5" s="1271"/>
      <c r="AJ5" s="1271"/>
      <c r="AK5" s="1271"/>
      <c r="AL5" s="1271"/>
      <c r="AM5" s="1271"/>
      <c r="AN5" s="1271"/>
      <c r="AO5" s="1271"/>
      <c r="AP5" s="1271"/>
      <c r="AQ5" s="1271"/>
      <c r="AR5" s="1253">
        <v>29</v>
      </c>
    </row>
    <row r="6" s="1253" customFormat="1" ht="14.7" customHeight="1" spans="1:44">
      <c r="A6" s="500"/>
      <c r="B6" s="500"/>
      <c r="C6" s="500"/>
      <c r="D6" s="1256" t="str">
        <f>IF(org=0,"Не определено",org)</f>
        <v>АО "ОЭЗ ППТ "Алабуга"</v>
      </c>
      <c r="E6" s="1256"/>
      <c r="F6" s="1256"/>
      <c r="G6" s="1256"/>
      <c r="H6" s="1256"/>
      <c r="I6" s="1256"/>
      <c r="J6" s="1256"/>
      <c r="K6" s="1268"/>
      <c r="L6" s="1268"/>
      <c r="M6" s="1268"/>
      <c r="N6" s="1268"/>
      <c r="O6" s="1255"/>
      <c r="P6" s="1255"/>
      <c r="Q6" s="1255"/>
      <c r="R6" s="1255"/>
      <c r="S6" s="1255"/>
      <c r="T6" s="1255"/>
      <c r="U6" s="1255"/>
      <c r="V6" s="1255"/>
      <c r="W6" s="1255"/>
      <c r="X6" s="1268"/>
      <c r="Y6" s="1271"/>
      <c r="Z6" s="1271"/>
      <c r="AA6" s="1271"/>
      <c r="AB6" s="1271"/>
      <c r="AC6" s="1271"/>
      <c r="AD6" s="1271"/>
      <c r="AE6" s="1271"/>
      <c r="AF6" s="1271"/>
      <c r="AG6" s="1271"/>
      <c r="AH6" s="1271"/>
      <c r="AI6" s="1271"/>
      <c r="AJ6" s="1271"/>
      <c r="AK6" s="1271"/>
      <c r="AL6" s="1271"/>
      <c r="AM6" s="1271"/>
      <c r="AN6" s="1271"/>
      <c r="AO6" s="1271"/>
      <c r="AP6" s="1271"/>
      <c r="AQ6" s="1271"/>
      <c r="AR6" s="1253">
        <v>14</v>
      </c>
    </row>
    <row r="7" s="1254" customFormat="1" ht="11.55" customHeight="1" spans="1:44">
      <c r="A7" s="150"/>
      <c r="B7" s="150"/>
      <c r="D7" s="1257"/>
      <c r="E7" s="1258"/>
      <c r="F7" s="1258"/>
      <c r="G7" s="1258"/>
      <c r="H7" s="1258"/>
      <c r="I7" s="1258"/>
      <c r="J7" s="1269"/>
      <c r="Y7" s="500"/>
      <c r="Z7" s="500"/>
      <c r="AA7" s="500"/>
      <c r="AB7" s="500"/>
      <c r="AC7" s="500"/>
      <c r="AD7" s="500"/>
      <c r="AE7" s="500"/>
      <c r="AF7" s="500"/>
      <c r="AG7" s="500"/>
      <c r="AH7" s="500"/>
      <c r="AI7" s="500"/>
      <c r="AJ7" s="500"/>
      <c r="AK7" s="500"/>
      <c r="AL7" s="500"/>
      <c r="AM7" s="500"/>
      <c r="AN7" s="500"/>
      <c r="AO7" s="500"/>
      <c r="AP7" s="500"/>
      <c r="AQ7" s="500"/>
      <c r="AR7" s="1254">
        <v>11</v>
      </c>
    </row>
    <row r="8" s="1253" customFormat="1" ht="1.05" customHeight="1" spans="1:44">
      <c r="A8" s="1255"/>
      <c r="B8" s="1255"/>
      <c r="D8" s="1259"/>
      <c r="E8" s="1259"/>
      <c r="F8" s="1259"/>
      <c r="G8" s="1259"/>
      <c r="H8" s="1259"/>
      <c r="I8" s="1259"/>
      <c r="J8" s="1259"/>
      <c r="K8" s="1259"/>
      <c r="L8" s="1259"/>
      <c r="M8" s="1259"/>
      <c r="N8" s="1259"/>
      <c r="O8" s="1259"/>
      <c r="P8" s="1259"/>
      <c r="Q8" s="1259"/>
      <c r="R8" s="1259"/>
      <c r="S8" s="1259"/>
      <c r="T8" s="1259"/>
      <c r="U8" s="1259"/>
      <c r="V8" s="1259"/>
      <c r="W8" s="1259"/>
      <c r="Y8" s="1271"/>
      <c r="Z8" s="1271"/>
      <c r="AA8" s="1271"/>
      <c r="AB8" s="1271"/>
      <c r="AC8" s="1271"/>
      <c r="AD8" s="1271"/>
      <c r="AE8" s="1271"/>
      <c r="AF8" s="1271"/>
      <c r="AG8" s="1271"/>
      <c r="AH8" s="1271"/>
      <c r="AI8" s="1271"/>
      <c r="AJ8" s="1271"/>
      <c r="AK8" s="1271"/>
      <c r="AL8" s="1271"/>
      <c r="AM8" s="1271"/>
      <c r="AN8" s="1271"/>
      <c r="AO8" s="1271"/>
      <c r="AP8" s="1271"/>
      <c r="AQ8" s="1271"/>
      <c r="AR8" s="1253">
        <v>1</v>
      </c>
    </row>
    <row r="9" ht="28.5" customHeight="1" spans="4:44">
      <c r="D9" s="63" t="s">
        <v>89</v>
      </c>
      <c r="E9" s="125" t="s">
        <v>124</v>
      </c>
      <c r="F9" s="126"/>
      <c r="G9" s="63" t="s">
        <v>107</v>
      </c>
      <c r="H9" s="63" t="s">
        <v>89</v>
      </c>
      <c r="I9" s="63"/>
      <c r="J9" s="63" t="s">
        <v>125</v>
      </c>
      <c r="K9" s="130" t="s">
        <v>126</v>
      </c>
      <c r="L9" s="130"/>
      <c r="M9" s="130"/>
      <c r="N9" s="130"/>
      <c r="O9" s="130" t="s">
        <v>127</v>
      </c>
      <c r="P9" s="130"/>
      <c r="Q9" s="130"/>
      <c r="R9" s="130"/>
      <c r="S9" s="130" t="s">
        <v>128</v>
      </c>
      <c r="T9" s="130"/>
      <c r="U9" s="130"/>
      <c r="V9" s="130"/>
      <c r="W9" s="63" t="s">
        <v>129</v>
      </c>
      <c r="AR9" s="35">
        <v>27</v>
      </c>
    </row>
    <row r="10" ht="31.5" customHeight="1" spans="4:44">
      <c r="D10" s="63"/>
      <c r="E10" s="63" t="s">
        <v>90</v>
      </c>
      <c r="F10" s="63" t="s">
        <v>130</v>
      </c>
      <c r="G10" s="63"/>
      <c r="H10" s="63"/>
      <c r="I10" s="63"/>
      <c r="J10" s="63"/>
      <c r="K10" s="63" t="s">
        <v>110</v>
      </c>
      <c r="L10" s="63" t="s">
        <v>89</v>
      </c>
      <c r="M10" s="63"/>
      <c r="N10" s="63" t="s">
        <v>131</v>
      </c>
      <c r="O10" s="63" t="s">
        <v>110</v>
      </c>
      <c r="P10" s="63" t="s">
        <v>89</v>
      </c>
      <c r="Q10" s="63"/>
      <c r="R10" s="63" t="s">
        <v>131</v>
      </c>
      <c r="S10" s="63" t="s">
        <v>110</v>
      </c>
      <c r="T10" s="63" t="s">
        <v>89</v>
      </c>
      <c r="U10" s="63"/>
      <c r="V10" s="63" t="s">
        <v>90</v>
      </c>
      <c r="W10" s="63"/>
      <c r="Z10" s="500" t="s">
        <v>132</v>
      </c>
      <c r="AA10" s="500" t="s">
        <v>133</v>
      </c>
      <c r="AB10" s="500" t="s">
        <v>134</v>
      </c>
      <c r="AC10" s="500" t="s">
        <v>135</v>
      </c>
      <c r="AD10" s="500" t="s">
        <v>136</v>
      </c>
      <c r="AE10" s="500" t="s">
        <v>137</v>
      </c>
      <c r="AF10" s="500" t="s">
        <v>138</v>
      </c>
      <c r="AG10" s="500" t="s">
        <v>139</v>
      </c>
      <c r="AH10" s="500" t="s">
        <v>140</v>
      </c>
      <c r="AI10" s="500" t="s">
        <v>141</v>
      </c>
      <c r="AJ10" s="500" t="s">
        <v>142</v>
      </c>
      <c r="AK10" s="500" t="s">
        <v>143</v>
      </c>
      <c r="AL10" s="500" t="s">
        <v>144</v>
      </c>
      <c r="AM10" s="500" t="s">
        <v>145</v>
      </c>
      <c r="AN10" s="500" t="s">
        <v>146</v>
      </c>
      <c r="AO10" s="500" t="s">
        <v>147</v>
      </c>
      <c r="AP10" s="500" t="s">
        <v>148</v>
      </c>
      <c r="AQ10" s="500" t="s">
        <v>149</v>
      </c>
      <c r="AR10" s="35">
        <v>30</v>
      </c>
    </row>
    <row r="11" s="150" customFormat="1" ht="12" hidden="1" customHeight="1" spans="4:44">
      <c r="D11" s="1260" t="s">
        <v>111</v>
      </c>
      <c r="E11" s="1260" t="s">
        <v>112</v>
      </c>
      <c r="F11" s="1260"/>
      <c r="G11" s="1260" t="s">
        <v>91</v>
      </c>
      <c r="H11" s="1261" t="s">
        <v>113</v>
      </c>
      <c r="I11" s="1261"/>
      <c r="J11" s="1260" t="s">
        <v>93</v>
      </c>
      <c r="K11" s="1260" t="s">
        <v>94</v>
      </c>
      <c r="L11" s="1261" t="s">
        <v>114</v>
      </c>
      <c r="M11" s="1261"/>
      <c r="N11" s="1260" t="s">
        <v>150</v>
      </c>
      <c r="O11" s="1260" t="s">
        <v>151</v>
      </c>
      <c r="P11" s="1261" t="s">
        <v>152</v>
      </c>
      <c r="Q11" s="1261"/>
      <c r="R11" s="1260" t="s">
        <v>153</v>
      </c>
      <c r="S11" s="1260" t="s">
        <v>152</v>
      </c>
      <c r="T11" s="1261" t="s">
        <v>153</v>
      </c>
      <c r="U11" s="1261"/>
      <c r="V11" s="1260" t="s">
        <v>154</v>
      </c>
      <c r="W11" s="1260" t="s">
        <v>155</v>
      </c>
      <c r="Y11" s="500"/>
      <c r="Z11" s="500"/>
      <c r="AA11" s="500"/>
      <c r="AB11" s="500"/>
      <c r="AC11" s="500"/>
      <c r="AD11" s="500"/>
      <c r="AE11" s="500"/>
      <c r="AF11" s="500"/>
      <c r="AG11" s="500"/>
      <c r="AH11" s="500"/>
      <c r="AI11" s="500"/>
      <c r="AJ11" s="500"/>
      <c r="AK11" s="500"/>
      <c r="AL11" s="500"/>
      <c r="AM11" s="500"/>
      <c r="AN11" s="500"/>
      <c r="AO11" s="500"/>
      <c r="AP11" s="500"/>
      <c r="AQ11" s="500"/>
      <c r="AR11" s="150">
        <v>0</v>
      </c>
    </row>
    <row r="12" ht="14.25" hidden="1" customHeight="1" spans="3:44">
      <c r="C12" s="216"/>
      <c r="D12" s="217">
        <v>0</v>
      </c>
      <c r="E12" s="63"/>
      <c r="F12" s="63"/>
      <c r="G12" s="63"/>
      <c r="H12" s="451"/>
      <c r="I12" s="451"/>
      <c r="J12" s="231"/>
      <c r="K12" s="231"/>
      <c r="L12" s="231"/>
      <c r="M12" s="231"/>
      <c r="N12" s="465"/>
      <c r="O12" s="231"/>
      <c r="P12" s="231"/>
      <c r="Q12" s="231"/>
      <c r="R12" s="1270"/>
      <c r="S12" s="231"/>
      <c r="T12" s="231"/>
      <c r="U12" s="231"/>
      <c r="V12" s="1270"/>
      <c r="W12" s="231"/>
      <c r="AR12" s="35">
        <v>0</v>
      </c>
    </row>
    <row r="13" s="35" customFormat="1" ht="17.25" hidden="1" customHeight="1" spans="1:44">
      <c r="A13" s="450"/>
      <c r="C13" s="216"/>
      <c r="D13" s="1262">
        <v>1</v>
      </c>
      <c r="E13" s="452" t="s">
        <v>156</v>
      </c>
      <c r="F13" s="453" t="s">
        <v>19</v>
      </c>
      <c r="G13" s="452"/>
      <c r="H13" s="502"/>
      <c r="I13" s="513"/>
      <c r="J13" s="514"/>
      <c r="K13" s="515"/>
      <c r="L13" s="515"/>
      <c r="M13" s="515"/>
      <c r="N13" s="516"/>
      <c r="O13" s="515"/>
      <c r="P13" s="515"/>
      <c r="Q13" s="515"/>
      <c r="R13" s="535"/>
      <c r="S13" s="515"/>
      <c r="T13" s="515"/>
      <c r="U13" s="515"/>
      <c r="V13" s="535"/>
      <c r="W13" s="536"/>
      <c r="Y13" s="499"/>
      <c r="Z13" s="499"/>
      <c r="AA13" s="499"/>
      <c r="AB13" s="499"/>
      <c r="AC13" s="499" t="s">
        <v>157</v>
      </c>
      <c r="AD13" s="499" t="s">
        <v>158</v>
      </c>
      <c r="AE13" s="499" t="s">
        <v>159</v>
      </c>
      <c r="AF13" s="499" t="s">
        <v>160</v>
      </c>
      <c r="AG13" s="499" t="s">
        <v>161</v>
      </c>
      <c r="AH13" s="49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499" t="str">
        <f>IF($G$13=0,"",$G$13)</f>
        <v/>
      </c>
      <c r="AJ13" s="499" t="str">
        <f>IF($J$13=0,"",$J$13)</f>
        <v/>
      </c>
      <c r="AK13" s="499" t="str">
        <f>IF($K$13="нет","без дифференциации",IF($N$13=0,"",$N$13))</f>
        <v/>
      </c>
      <c r="AL13" s="499" t="str">
        <f>IF($O$13="нет","без дифференциации",IF($R$13=0,"",$R$13))</f>
        <v/>
      </c>
      <c r="AM13" s="499" t="str">
        <f>IF($S$13="нет","без дифференциации",IF($V$13=0,"",$V$13))</f>
        <v/>
      </c>
      <c r="AN13" s="499">
        <f>$I$13</f>
        <v>0</v>
      </c>
      <c r="AO13" s="499" t="str">
        <f>$I$13&amp;"."&amp;$M$13</f>
        <v>.</v>
      </c>
      <c r="AP13" s="499" t="str">
        <f>$I$13&amp;"."&amp;$M$13&amp;"."&amp;$Q$13</f>
        <v>..</v>
      </c>
      <c r="AQ13" s="499" t="str">
        <f>$I$13&amp;"."&amp;$M$13&amp;"."&amp;$Q$13&amp;"."&amp;$U$13</f>
        <v>...</v>
      </c>
      <c r="AR13" s="35">
        <v>0</v>
      </c>
    </row>
    <row r="14" s="35" customFormat="1" ht="17.25" hidden="1" customHeight="1" spans="1:44">
      <c r="A14" s="450"/>
      <c r="D14" s="1262"/>
      <c r="E14" s="452"/>
      <c r="F14" s="455"/>
      <c r="G14" s="452"/>
      <c r="H14" s="503"/>
      <c r="I14" s="517"/>
      <c r="J14" s="518"/>
      <c r="K14" s="519"/>
      <c r="L14" s="519"/>
      <c r="M14" s="519"/>
      <c r="N14" s="520"/>
      <c r="O14" s="519"/>
      <c r="P14" s="519"/>
      <c r="Q14" s="519"/>
      <c r="R14" s="521"/>
      <c r="S14" s="519"/>
      <c r="T14" s="522"/>
      <c r="U14" s="522"/>
      <c r="V14" s="522"/>
      <c r="W14" s="537"/>
      <c r="Y14" s="500"/>
      <c r="Z14" s="500"/>
      <c r="AA14" s="500"/>
      <c r="AB14" s="500"/>
      <c r="AC14" s="500"/>
      <c r="AD14" s="500"/>
      <c r="AE14" s="500"/>
      <c r="AF14" s="500"/>
      <c r="AG14" s="500"/>
      <c r="AH14" s="500"/>
      <c r="AI14" s="500"/>
      <c r="AJ14" s="500"/>
      <c r="AK14" s="500"/>
      <c r="AL14" s="500"/>
      <c r="AM14" s="500"/>
      <c r="AN14" s="500"/>
      <c r="AO14" s="500"/>
      <c r="AP14" s="500"/>
      <c r="AQ14" s="500"/>
      <c r="AR14" s="35">
        <v>0</v>
      </c>
    </row>
    <row r="15" s="35" customFormat="1" ht="17.25" hidden="1" customHeight="1" spans="1:44">
      <c r="A15" s="450"/>
      <c r="C15" s="216"/>
      <c r="D15" s="1262"/>
      <c r="E15" s="452"/>
      <c r="F15" s="455"/>
      <c r="G15" s="452"/>
      <c r="H15" s="503"/>
      <c r="I15" s="517"/>
      <c r="J15" s="449"/>
      <c r="K15" s="519"/>
      <c r="L15" s="519"/>
      <c r="M15" s="519"/>
      <c r="N15" s="521"/>
      <c r="O15" s="519"/>
      <c r="P15" s="519"/>
      <c r="Q15" s="522"/>
      <c r="R15" s="522"/>
      <c r="W15" s="537"/>
      <c r="Y15" s="499"/>
      <c r="Z15" s="499"/>
      <c r="AA15" s="499"/>
      <c r="AB15" s="499"/>
      <c r="AC15" s="499"/>
      <c r="AD15" s="499"/>
      <c r="AE15" s="499"/>
      <c r="AF15" s="499"/>
      <c r="AG15" s="499"/>
      <c r="AH15" s="499"/>
      <c r="AI15" s="499"/>
      <c r="AJ15" s="499"/>
      <c r="AK15" s="499"/>
      <c r="AL15" s="499"/>
      <c r="AM15" s="499"/>
      <c r="AN15" s="499"/>
      <c r="AO15" s="499"/>
      <c r="AP15" s="499"/>
      <c r="AQ15" s="499"/>
      <c r="AR15" s="35">
        <v>0</v>
      </c>
    </row>
    <row r="16" s="35" customFormat="1" ht="17.25" hidden="1" customHeight="1" spans="1:44">
      <c r="A16" s="450"/>
      <c r="D16" s="1262"/>
      <c r="E16" s="452"/>
      <c r="F16" s="455"/>
      <c r="G16" s="452"/>
      <c r="H16" s="503"/>
      <c r="I16" s="517"/>
      <c r="J16" s="449"/>
      <c r="K16" s="519"/>
      <c r="L16" s="522"/>
      <c r="M16" s="522"/>
      <c r="N16" s="522"/>
      <c r="O16" s="522"/>
      <c r="P16" s="522"/>
      <c r="Q16" s="522"/>
      <c r="R16" s="522"/>
      <c r="W16" s="537"/>
      <c r="Y16" s="500"/>
      <c r="Z16" s="500"/>
      <c r="AA16" s="500"/>
      <c r="AB16" s="500"/>
      <c r="AC16" s="500"/>
      <c r="AD16" s="500"/>
      <c r="AE16" s="500"/>
      <c r="AF16" s="500"/>
      <c r="AG16" s="500"/>
      <c r="AH16" s="500"/>
      <c r="AI16" s="500"/>
      <c r="AJ16" s="500"/>
      <c r="AK16" s="500"/>
      <c r="AL16" s="500"/>
      <c r="AM16" s="500"/>
      <c r="AN16" s="500"/>
      <c r="AO16" s="500"/>
      <c r="AP16" s="500"/>
      <c r="AQ16" s="500"/>
      <c r="AR16" s="35">
        <v>0</v>
      </c>
    </row>
    <row r="17" s="35" customFormat="1" ht="17.25" hidden="1" customHeight="1" spans="1:44">
      <c r="A17" s="450"/>
      <c r="D17" s="21"/>
      <c r="E17" s="456"/>
      <c r="F17" s="458"/>
      <c r="G17" s="456"/>
      <c r="H17" s="504"/>
      <c r="I17" s="523"/>
      <c r="J17" s="523"/>
      <c r="K17" s="523"/>
      <c r="L17" s="523"/>
      <c r="M17" s="523"/>
      <c r="N17" s="523"/>
      <c r="O17" s="523"/>
      <c r="P17" s="523"/>
      <c r="Q17" s="523"/>
      <c r="R17" s="523"/>
      <c r="S17" s="538"/>
      <c r="T17" s="538"/>
      <c r="U17" s="538"/>
      <c r="V17" s="538"/>
      <c r="W17" s="539"/>
      <c r="Y17" s="500"/>
      <c r="Z17" s="500"/>
      <c r="AA17" s="500"/>
      <c r="AB17" s="500"/>
      <c r="AC17" s="500"/>
      <c r="AD17" s="500"/>
      <c r="AE17" s="500"/>
      <c r="AF17" s="500"/>
      <c r="AG17" s="500"/>
      <c r="AH17" s="500"/>
      <c r="AI17" s="500"/>
      <c r="AJ17" s="500"/>
      <c r="AK17" s="500"/>
      <c r="AL17" s="500"/>
      <c r="AM17" s="500"/>
      <c r="AN17" s="500"/>
      <c r="AO17" s="500"/>
      <c r="AP17" s="500"/>
      <c r="AQ17" s="500"/>
      <c r="AR17" s="35">
        <v>0</v>
      </c>
    </row>
    <row r="18" s="35" customFormat="1" ht="17.25" hidden="1" customHeight="1" spans="1:44">
      <c r="A18" s="450"/>
      <c r="C18" s="216"/>
      <c r="D18" s="1262">
        <v>2</v>
      </c>
      <c r="E18" s="1263"/>
      <c r="F18" s="453" t="s">
        <v>19</v>
      </c>
      <c r="G18" s="452"/>
      <c r="H18" s="502"/>
      <c r="I18" s="513"/>
      <c r="J18" s="514"/>
      <c r="K18" s="515"/>
      <c r="L18" s="515"/>
      <c r="M18" s="515"/>
      <c r="N18" s="516"/>
      <c r="O18" s="515"/>
      <c r="P18" s="515"/>
      <c r="Q18" s="515"/>
      <c r="R18" s="535"/>
      <c r="S18" s="515"/>
      <c r="T18" s="515"/>
      <c r="U18" s="515"/>
      <c r="V18" s="535"/>
      <c r="W18" s="536"/>
      <c r="X18" s="499"/>
      <c r="Y18" s="499"/>
      <c r="Z18" s="499"/>
      <c r="AA18" s="499"/>
      <c r="AB18" s="499"/>
      <c r="AC18" s="499" t="s">
        <v>162</v>
      </c>
      <c r="AD18" s="499" t="s">
        <v>163</v>
      </c>
      <c r="AE18" s="499" t="s">
        <v>164</v>
      </c>
      <c r="AF18" s="499" t="s">
        <v>165</v>
      </c>
      <c r="AG18" s="499" t="s">
        <v>166</v>
      </c>
      <c r="AH18" s="499" t="str">
        <f>IF($E$18=0,"",$E$18)</f>
        <v/>
      </c>
      <c r="AI18" s="499" t="str">
        <f>IF($G$18=0,"",$G$18)</f>
        <v/>
      </c>
      <c r="AJ18" s="499" t="str">
        <f>IF($J$18=0,"",$J$18)</f>
        <v/>
      </c>
      <c r="AK18" s="499" t="str">
        <f>IF($K$18="нет","без дифференциации",IF($N$18=0,"",$N$18))</f>
        <v/>
      </c>
      <c r="AL18" s="499" t="str">
        <f>IF($O$18="нет","без дифференциации",IF($R$18=0,"",$R$18))</f>
        <v/>
      </c>
      <c r="AM18" s="499" t="str">
        <f>IF($S$18="нет","без дифференциации",IF($V$18=0,"",$V$18))</f>
        <v/>
      </c>
      <c r="AN18" s="1272">
        <f>$I$18</f>
        <v>0</v>
      </c>
      <c r="AO18" s="499" t="str">
        <f>$I$18&amp;"."&amp;$M$18</f>
        <v>.</v>
      </c>
      <c r="AP18" s="500" t="str">
        <f>$I$18&amp;"."&amp;$M$18&amp;"."&amp;$Q$18</f>
        <v>..</v>
      </c>
      <c r="AQ18" s="500" t="str">
        <f>$I$18&amp;"."&amp;$M$18&amp;"."&amp;$Q$18&amp;"."&amp;$U$18</f>
        <v>...</v>
      </c>
      <c r="AR18" s="35">
        <v>0</v>
      </c>
    </row>
    <row r="19" s="35" customFormat="1" ht="17.25" hidden="1" customHeight="1" spans="1:44">
      <c r="A19" s="450"/>
      <c r="D19" s="1262"/>
      <c r="E19" s="1263"/>
      <c r="F19" s="455"/>
      <c r="G19" s="452"/>
      <c r="H19" s="503"/>
      <c r="I19" s="517"/>
      <c r="J19" s="518"/>
      <c r="K19" s="519"/>
      <c r="L19" s="519"/>
      <c r="M19" s="519"/>
      <c r="N19" s="520"/>
      <c r="O19" s="519"/>
      <c r="P19" s="519"/>
      <c r="Q19" s="519"/>
      <c r="R19" s="521"/>
      <c r="S19" s="519"/>
      <c r="T19" s="522"/>
      <c r="U19" s="522"/>
      <c r="V19" s="522"/>
      <c r="W19" s="537"/>
      <c r="X19" s="500"/>
      <c r="Y19" s="500"/>
      <c r="Z19" s="500"/>
      <c r="AA19" s="500"/>
      <c r="AB19" s="500"/>
      <c r="AC19" s="500"/>
      <c r="AD19" s="500"/>
      <c r="AE19" s="500"/>
      <c r="AF19" s="500"/>
      <c r="AG19" s="500"/>
      <c r="AH19" s="500"/>
      <c r="AI19" s="500"/>
      <c r="AJ19" s="500"/>
      <c r="AK19" s="500"/>
      <c r="AL19" s="500"/>
      <c r="AM19" s="500"/>
      <c r="AN19" s="500"/>
      <c r="AO19" s="500"/>
      <c r="AP19" s="500"/>
      <c r="AQ19" s="500"/>
      <c r="AR19" s="35">
        <v>0</v>
      </c>
    </row>
    <row r="20" s="35" customFormat="1" ht="17.25" hidden="1" customHeight="1" spans="1:44">
      <c r="A20" s="450"/>
      <c r="D20" s="21"/>
      <c r="E20" s="1264"/>
      <c r="F20" s="455"/>
      <c r="G20" s="456"/>
      <c r="H20" s="503"/>
      <c r="I20" s="517"/>
      <c r="J20" s="449"/>
      <c r="K20" s="519"/>
      <c r="L20" s="519"/>
      <c r="M20" s="519"/>
      <c r="N20" s="521"/>
      <c r="O20" s="519"/>
      <c r="P20" s="519"/>
      <c r="Q20" s="522"/>
      <c r="R20" s="522"/>
      <c r="W20" s="537"/>
      <c r="X20" s="500"/>
      <c r="Y20" s="500"/>
      <c r="Z20" s="500"/>
      <c r="AA20" s="500"/>
      <c r="AB20" s="500"/>
      <c r="AC20" s="500"/>
      <c r="AD20" s="500"/>
      <c r="AE20" s="500"/>
      <c r="AF20" s="500"/>
      <c r="AG20" s="500"/>
      <c r="AH20" s="500"/>
      <c r="AI20" s="500"/>
      <c r="AJ20" s="500"/>
      <c r="AK20" s="500"/>
      <c r="AL20" s="500"/>
      <c r="AM20" s="500"/>
      <c r="AN20" s="500"/>
      <c r="AO20" s="500"/>
      <c r="AP20" s="500"/>
      <c r="AQ20" s="500"/>
      <c r="AR20" s="35">
        <v>0</v>
      </c>
    </row>
    <row r="21" s="35" customFormat="1" ht="17.25" hidden="1" customHeight="1" spans="1:44">
      <c r="A21" s="450"/>
      <c r="D21" s="21"/>
      <c r="E21" s="1264"/>
      <c r="F21" s="455"/>
      <c r="G21" s="456"/>
      <c r="H21" s="503"/>
      <c r="I21" s="517"/>
      <c r="J21" s="449"/>
      <c r="K21" s="519"/>
      <c r="L21" s="522"/>
      <c r="M21" s="522"/>
      <c r="N21" s="522"/>
      <c r="O21" s="522"/>
      <c r="P21" s="522"/>
      <c r="Q21" s="522"/>
      <c r="R21" s="522"/>
      <c r="W21" s="537"/>
      <c r="X21" s="500"/>
      <c r="Y21" s="500"/>
      <c r="Z21" s="500"/>
      <c r="AA21" s="500"/>
      <c r="AB21" s="500"/>
      <c r="AC21" s="500"/>
      <c r="AD21" s="500"/>
      <c r="AE21" s="500"/>
      <c r="AF21" s="500"/>
      <c r="AG21" s="500"/>
      <c r="AH21" s="500"/>
      <c r="AI21" s="500"/>
      <c r="AJ21" s="500"/>
      <c r="AK21" s="500"/>
      <c r="AL21" s="500"/>
      <c r="AM21" s="500"/>
      <c r="AN21" s="500"/>
      <c r="AO21" s="500"/>
      <c r="AP21" s="500"/>
      <c r="AQ21" s="500"/>
      <c r="AR21" s="35">
        <v>0</v>
      </c>
    </row>
    <row r="22" s="35" customFormat="1" ht="17.25" hidden="1" customHeight="1" spans="1:44">
      <c r="A22" s="450"/>
      <c r="D22" s="21"/>
      <c r="E22" s="1264"/>
      <c r="F22" s="458"/>
      <c r="G22" s="456"/>
      <c r="H22" s="504"/>
      <c r="I22" s="523"/>
      <c r="J22" s="523"/>
      <c r="K22" s="523"/>
      <c r="L22" s="523"/>
      <c r="M22" s="523"/>
      <c r="N22" s="523"/>
      <c r="O22" s="523"/>
      <c r="P22" s="523"/>
      <c r="Q22" s="523"/>
      <c r="R22" s="523"/>
      <c r="S22" s="538"/>
      <c r="T22" s="538"/>
      <c r="U22" s="538"/>
      <c r="V22" s="538"/>
      <c r="W22" s="539"/>
      <c r="X22" s="500"/>
      <c r="Y22" s="500"/>
      <c r="Z22" s="500"/>
      <c r="AA22" s="500"/>
      <c r="AB22" s="500"/>
      <c r="AC22" s="500"/>
      <c r="AD22" s="500"/>
      <c r="AE22" s="500"/>
      <c r="AF22" s="500"/>
      <c r="AG22" s="500"/>
      <c r="AH22" s="500"/>
      <c r="AI22" s="500"/>
      <c r="AJ22" s="500"/>
      <c r="AK22" s="500"/>
      <c r="AL22" s="500"/>
      <c r="AM22" s="500"/>
      <c r="AN22" s="500"/>
      <c r="AO22" s="500"/>
      <c r="AP22" s="500"/>
      <c r="AQ22" s="500"/>
      <c r="AR22" s="35">
        <v>0</v>
      </c>
    </row>
    <row r="23" s="35" customFormat="1" ht="17.25" hidden="1" customHeight="1" spans="1:44">
      <c r="A23" s="450"/>
      <c r="C23" s="216"/>
      <c r="D23" s="1262">
        <v>2</v>
      </c>
      <c r="E23" s="452" t="s">
        <v>167</v>
      </c>
      <c r="F23" s="453" t="s">
        <v>19</v>
      </c>
      <c r="G23" s="452"/>
      <c r="H23" s="502"/>
      <c r="I23" s="513"/>
      <c r="J23" s="514"/>
      <c r="K23" s="515"/>
      <c r="L23" s="515"/>
      <c r="M23" s="515"/>
      <c r="N23" s="516"/>
      <c r="O23" s="515"/>
      <c r="P23" s="515"/>
      <c r="Q23" s="515"/>
      <c r="R23" s="535"/>
      <c r="S23" s="515"/>
      <c r="T23" s="515"/>
      <c r="U23" s="515"/>
      <c r="V23" s="535"/>
      <c r="W23" s="536"/>
      <c r="X23" s="499"/>
      <c r="Y23" s="499"/>
      <c r="Z23" s="499"/>
      <c r="AA23" s="499"/>
      <c r="AB23" s="499"/>
      <c r="AC23" s="499" t="s">
        <v>162</v>
      </c>
      <c r="AD23" s="499" t="s">
        <v>163</v>
      </c>
      <c r="AE23" s="499" t="s">
        <v>164</v>
      </c>
      <c r="AF23" s="499" t="s">
        <v>165</v>
      </c>
      <c r="AG23" s="499" t="s">
        <v>166</v>
      </c>
      <c r="AH23" s="499" t="str">
        <f>IF($E$23=0,"",$E$23)</f>
        <v>Тарифы на тепловую энергию (мощность), поставляемую теплоснабжающими организациями потребителям, другим теплоснабжающим организациям</v>
      </c>
      <c r="AI23" s="499" t="str">
        <f>IF($G$23=0,"",$G$23)</f>
        <v/>
      </c>
      <c r="AJ23" s="499" t="str">
        <f>IF($J$23=0,"",$J$23)</f>
        <v/>
      </c>
      <c r="AK23" s="499" t="str">
        <f>IF($K$23="нет","без дифференциации",IF($N$23=0,"",$N$23))</f>
        <v/>
      </c>
      <c r="AL23" s="499" t="str">
        <f>IF($O$23="нет","без дифференциации",IF($R$23=0,"",$R$23))</f>
        <v/>
      </c>
      <c r="AM23" s="499" t="str">
        <f>IF($S$23="нет","без дифференциации",IF($V$23=0,"",$V$23))</f>
        <v/>
      </c>
      <c r="AN23" s="1272">
        <f>$I$23</f>
        <v>0</v>
      </c>
      <c r="AO23" s="499" t="str">
        <f>$I$23&amp;"."&amp;$M$23</f>
        <v>.</v>
      </c>
      <c r="AP23" s="500" t="str">
        <f>$I$23&amp;"."&amp;$M$23&amp;"."&amp;$Q$23</f>
        <v>..</v>
      </c>
      <c r="AQ23" s="500" t="str">
        <f>$I$23&amp;"."&amp;$M$23&amp;"."&amp;$Q$23&amp;"."&amp;$U$23</f>
        <v>...</v>
      </c>
      <c r="AR23" s="35">
        <v>0</v>
      </c>
    </row>
    <row r="24" s="35" customFormat="1" ht="17.25" hidden="1" customHeight="1" spans="1:44">
      <c r="A24" s="450"/>
      <c r="D24" s="1262"/>
      <c r="E24" s="452"/>
      <c r="F24" s="455"/>
      <c r="G24" s="452"/>
      <c r="H24" s="503"/>
      <c r="I24" s="517"/>
      <c r="J24" s="518"/>
      <c r="K24" s="519"/>
      <c r="L24" s="519"/>
      <c r="M24" s="519"/>
      <c r="N24" s="520"/>
      <c r="O24" s="519"/>
      <c r="P24" s="519"/>
      <c r="Q24" s="519"/>
      <c r="R24" s="521"/>
      <c r="S24" s="519"/>
      <c r="T24" s="522"/>
      <c r="U24" s="522"/>
      <c r="V24" s="522"/>
      <c r="W24" s="537"/>
      <c r="X24" s="500"/>
      <c r="Y24" s="500"/>
      <c r="Z24" s="500"/>
      <c r="AA24" s="500"/>
      <c r="AB24" s="500"/>
      <c r="AC24" s="500"/>
      <c r="AD24" s="500"/>
      <c r="AE24" s="500"/>
      <c r="AF24" s="500"/>
      <c r="AG24" s="500"/>
      <c r="AH24" s="500"/>
      <c r="AI24" s="500"/>
      <c r="AJ24" s="500"/>
      <c r="AK24" s="500"/>
      <c r="AL24" s="500"/>
      <c r="AM24" s="500"/>
      <c r="AN24" s="500"/>
      <c r="AO24" s="500"/>
      <c r="AP24" s="500"/>
      <c r="AQ24" s="500"/>
      <c r="AR24" s="35">
        <v>0</v>
      </c>
    </row>
    <row r="25" s="35" customFormat="1" ht="17.25" hidden="1" customHeight="1" spans="1:44">
      <c r="A25" s="450"/>
      <c r="D25" s="21"/>
      <c r="E25" s="456"/>
      <c r="F25" s="455"/>
      <c r="G25" s="456"/>
      <c r="H25" s="503"/>
      <c r="I25" s="517"/>
      <c r="J25" s="449"/>
      <c r="K25" s="519"/>
      <c r="L25" s="519"/>
      <c r="M25" s="519"/>
      <c r="N25" s="521"/>
      <c r="O25" s="519"/>
      <c r="P25" s="519"/>
      <c r="Q25" s="522"/>
      <c r="R25" s="522"/>
      <c r="W25" s="537"/>
      <c r="X25" s="500"/>
      <c r="Y25" s="500"/>
      <c r="Z25" s="500"/>
      <c r="AA25" s="500"/>
      <c r="AB25" s="500"/>
      <c r="AC25" s="500"/>
      <c r="AD25" s="500"/>
      <c r="AE25" s="500"/>
      <c r="AF25" s="500"/>
      <c r="AG25" s="500"/>
      <c r="AH25" s="500"/>
      <c r="AI25" s="500"/>
      <c r="AJ25" s="500"/>
      <c r="AK25" s="500"/>
      <c r="AL25" s="500"/>
      <c r="AM25" s="500"/>
      <c r="AN25" s="500"/>
      <c r="AO25" s="500"/>
      <c r="AP25" s="500"/>
      <c r="AQ25" s="500"/>
      <c r="AR25" s="35">
        <v>0</v>
      </c>
    </row>
    <row r="26" s="35" customFormat="1" ht="17.25" hidden="1" customHeight="1" spans="1:44">
      <c r="A26" s="450"/>
      <c r="D26" s="21"/>
      <c r="E26" s="456"/>
      <c r="F26" s="455"/>
      <c r="G26" s="456"/>
      <c r="H26" s="503"/>
      <c r="I26" s="517"/>
      <c r="J26" s="449"/>
      <c r="K26" s="519"/>
      <c r="L26" s="522"/>
      <c r="M26" s="522"/>
      <c r="N26" s="522"/>
      <c r="O26" s="522"/>
      <c r="P26" s="522"/>
      <c r="Q26" s="522"/>
      <c r="R26" s="522"/>
      <c r="W26" s="537"/>
      <c r="X26" s="500"/>
      <c r="Y26" s="500"/>
      <c r="Z26" s="500"/>
      <c r="AA26" s="500"/>
      <c r="AB26" s="500"/>
      <c r="AC26" s="500"/>
      <c r="AD26" s="500"/>
      <c r="AE26" s="500"/>
      <c r="AF26" s="500"/>
      <c r="AG26" s="500"/>
      <c r="AH26" s="500"/>
      <c r="AI26" s="500"/>
      <c r="AJ26" s="500"/>
      <c r="AK26" s="500"/>
      <c r="AL26" s="500"/>
      <c r="AM26" s="500"/>
      <c r="AN26" s="500"/>
      <c r="AO26" s="500"/>
      <c r="AP26" s="500"/>
      <c r="AQ26" s="500"/>
      <c r="AR26" s="35">
        <v>0</v>
      </c>
    </row>
    <row r="27" s="35" customFormat="1" ht="17.25" hidden="1" customHeight="1" spans="1:44">
      <c r="A27" s="450"/>
      <c r="D27" s="21"/>
      <c r="E27" s="456"/>
      <c r="F27" s="458"/>
      <c r="G27" s="456"/>
      <c r="H27" s="504"/>
      <c r="I27" s="523"/>
      <c r="J27" s="523"/>
      <c r="K27" s="523"/>
      <c r="L27" s="523"/>
      <c r="M27" s="523"/>
      <c r="N27" s="523"/>
      <c r="O27" s="523"/>
      <c r="P27" s="523"/>
      <c r="Q27" s="523"/>
      <c r="R27" s="523"/>
      <c r="S27" s="538"/>
      <c r="T27" s="538"/>
      <c r="U27" s="538"/>
      <c r="V27" s="538"/>
      <c r="W27" s="539"/>
      <c r="X27" s="500"/>
      <c r="Y27" s="500"/>
      <c r="Z27" s="500"/>
      <c r="AA27" s="500"/>
      <c r="AB27" s="500"/>
      <c r="AC27" s="500"/>
      <c r="AD27" s="500"/>
      <c r="AE27" s="500"/>
      <c r="AF27" s="500"/>
      <c r="AG27" s="500"/>
      <c r="AH27" s="500"/>
      <c r="AI27" s="500"/>
      <c r="AJ27" s="500"/>
      <c r="AK27" s="500"/>
      <c r="AL27" s="500"/>
      <c r="AM27" s="500"/>
      <c r="AN27" s="500"/>
      <c r="AO27" s="500"/>
      <c r="AP27" s="500"/>
      <c r="AQ27" s="500"/>
      <c r="AR27" s="35">
        <v>0</v>
      </c>
    </row>
    <row r="28" s="35" customFormat="1" ht="17.25" hidden="1" customHeight="1" spans="1:44">
      <c r="A28" s="450"/>
      <c r="C28" s="216"/>
      <c r="D28" s="1262">
        <v>3</v>
      </c>
      <c r="E28" s="452" t="s">
        <v>168</v>
      </c>
      <c r="F28" s="453" t="s">
        <v>19</v>
      </c>
      <c r="G28" s="452"/>
      <c r="H28" s="502"/>
      <c r="I28" s="513"/>
      <c r="J28" s="514"/>
      <c r="K28" s="515"/>
      <c r="L28" s="515"/>
      <c r="M28" s="515"/>
      <c r="N28" s="516"/>
      <c r="O28" s="515"/>
      <c r="P28" s="515"/>
      <c r="Q28" s="515"/>
      <c r="R28" s="535"/>
      <c r="S28" s="515"/>
      <c r="T28" s="515"/>
      <c r="U28" s="515"/>
      <c r="V28" s="535"/>
      <c r="W28" s="536"/>
      <c r="X28" s="499"/>
      <c r="Y28" s="499"/>
      <c r="Z28" s="499"/>
      <c r="AA28" s="499"/>
      <c r="AB28" s="499"/>
      <c r="AC28" s="499" t="s">
        <v>169</v>
      </c>
      <c r="AD28" s="499" t="s">
        <v>170</v>
      </c>
      <c r="AE28" s="499" t="s">
        <v>171</v>
      </c>
      <c r="AF28" s="499" t="s">
        <v>172</v>
      </c>
      <c r="AG28" s="499" t="s">
        <v>173</v>
      </c>
      <c r="AH28" s="499" t="str">
        <f>IF($E$28=0,"",$E$28)</f>
        <v>Тарифы на теплоноситель, поставляемый теплоснабжающими организациями потребителям, другим теплоснабжающим организациям</v>
      </c>
      <c r="AI28" s="499" t="str">
        <f>IF($G$28=0,"",$G$28)</f>
        <v/>
      </c>
      <c r="AJ28" s="499" t="str">
        <f>IF($J$28=0,"",$J$28)</f>
        <v/>
      </c>
      <c r="AK28" s="499" t="str">
        <f>IF($K$28="нет","без дифференциации",IF($N$28=0,"",$N$28))</f>
        <v/>
      </c>
      <c r="AL28" s="499" t="str">
        <f>IF($O$28="нет","без дифференциации",IF($R$28=0,"",$R$28))</f>
        <v/>
      </c>
      <c r="AM28" s="499" t="str">
        <f>IF($S$28="нет","без дифференциации",IF($V$28=0,"",$V$28))</f>
        <v/>
      </c>
      <c r="AN28" s="1272">
        <f>$I$28</f>
        <v>0</v>
      </c>
      <c r="AO28" s="499" t="str">
        <f>$I$28&amp;"."&amp;$M$28</f>
        <v>.</v>
      </c>
      <c r="AP28" s="500" t="str">
        <f>$I$28&amp;"."&amp;$M$28&amp;"."&amp;$Q$28</f>
        <v>..</v>
      </c>
      <c r="AQ28" s="500" t="str">
        <f>$I$28&amp;"."&amp;$M$28&amp;"."&amp;$Q$28&amp;"."&amp;$U$28</f>
        <v>...</v>
      </c>
      <c r="AR28" s="35">
        <v>0</v>
      </c>
    </row>
    <row r="29" s="35" customFormat="1" ht="17.25" hidden="1" customHeight="1" spans="1:44">
      <c r="A29" s="450"/>
      <c r="D29" s="1262"/>
      <c r="E29" s="452"/>
      <c r="F29" s="455"/>
      <c r="G29" s="452"/>
      <c r="H29" s="503"/>
      <c r="I29" s="517"/>
      <c r="J29" s="518"/>
      <c r="K29" s="519"/>
      <c r="L29" s="519"/>
      <c r="M29" s="519"/>
      <c r="N29" s="520"/>
      <c r="O29" s="519"/>
      <c r="P29" s="519"/>
      <c r="Q29" s="519"/>
      <c r="R29" s="521"/>
      <c r="S29" s="519"/>
      <c r="T29" s="522"/>
      <c r="U29" s="522"/>
      <c r="V29" s="522"/>
      <c r="W29" s="537"/>
      <c r="X29" s="500"/>
      <c r="Y29" s="500"/>
      <c r="Z29" s="500"/>
      <c r="AA29" s="500"/>
      <c r="AB29" s="500"/>
      <c r="AC29" s="500"/>
      <c r="AD29" s="500"/>
      <c r="AE29" s="500"/>
      <c r="AF29" s="500"/>
      <c r="AG29" s="500"/>
      <c r="AH29" s="500"/>
      <c r="AI29" s="500"/>
      <c r="AJ29" s="500"/>
      <c r="AK29" s="500"/>
      <c r="AL29" s="500"/>
      <c r="AM29" s="500"/>
      <c r="AN29" s="500"/>
      <c r="AO29" s="500"/>
      <c r="AP29" s="500"/>
      <c r="AQ29" s="500"/>
      <c r="AR29" s="35">
        <v>0</v>
      </c>
    </row>
    <row r="30" s="35" customFormat="1" ht="17.25" hidden="1" customHeight="1" spans="1:44">
      <c r="A30" s="450"/>
      <c r="D30" s="21"/>
      <c r="E30" s="456"/>
      <c r="F30" s="455"/>
      <c r="G30" s="456"/>
      <c r="H30" s="503"/>
      <c r="I30" s="517"/>
      <c r="J30" s="449"/>
      <c r="K30" s="519"/>
      <c r="L30" s="519"/>
      <c r="M30" s="519"/>
      <c r="N30" s="521"/>
      <c r="O30" s="519"/>
      <c r="P30" s="519"/>
      <c r="Q30" s="522"/>
      <c r="R30" s="522"/>
      <c r="W30" s="537"/>
      <c r="X30" s="500"/>
      <c r="Y30" s="500"/>
      <c r="Z30" s="500"/>
      <c r="AA30" s="500"/>
      <c r="AB30" s="500"/>
      <c r="AC30" s="500"/>
      <c r="AD30" s="500"/>
      <c r="AE30" s="500"/>
      <c r="AF30" s="500"/>
      <c r="AG30" s="500"/>
      <c r="AH30" s="500"/>
      <c r="AI30" s="500"/>
      <c r="AJ30" s="500"/>
      <c r="AK30" s="500"/>
      <c r="AL30" s="500"/>
      <c r="AM30" s="500"/>
      <c r="AN30" s="500"/>
      <c r="AO30" s="500"/>
      <c r="AP30" s="500"/>
      <c r="AQ30" s="500"/>
      <c r="AR30" s="35">
        <v>0</v>
      </c>
    </row>
    <row r="31" s="35" customFormat="1" ht="17.25" hidden="1" customHeight="1" spans="1:44">
      <c r="A31" s="450"/>
      <c r="D31" s="21"/>
      <c r="E31" s="456"/>
      <c r="F31" s="455"/>
      <c r="G31" s="456"/>
      <c r="H31" s="503"/>
      <c r="I31" s="517"/>
      <c r="J31" s="449"/>
      <c r="K31" s="519"/>
      <c r="L31" s="522"/>
      <c r="M31" s="522"/>
      <c r="N31" s="522"/>
      <c r="O31" s="522"/>
      <c r="P31" s="522"/>
      <c r="Q31" s="522"/>
      <c r="R31" s="522"/>
      <c r="W31" s="537"/>
      <c r="X31" s="500"/>
      <c r="Y31" s="500"/>
      <c r="Z31" s="500"/>
      <c r="AA31" s="500"/>
      <c r="AB31" s="500"/>
      <c r="AC31" s="500"/>
      <c r="AD31" s="500"/>
      <c r="AE31" s="500"/>
      <c r="AF31" s="500"/>
      <c r="AG31" s="500"/>
      <c r="AH31" s="500"/>
      <c r="AI31" s="500"/>
      <c r="AJ31" s="500"/>
      <c r="AK31" s="500"/>
      <c r="AL31" s="500"/>
      <c r="AM31" s="500"/>
      <c r="AN31" s="500"/>
      <c r="AO31" s="500"/>
      <c r="AP31" s="500"/>
      <c r="AQ31" s="500"/>
      <c r="AR31" s="35">
        <v>0</v>
      </c>
    </row>
    <row r="32" s="35" customFormat="1" ht="17.25" hidden="1" customHeight="1" spans="1:44">
      <c r="A32" s="450"/>
      <c r="D32" s="21"/>
      <c r="E32" s="456"/>
      <c r="F32" s="458"/>
      <c r="G32" s="456"/>
      <c r="H32" s="504"/>
      <c r="I32" s="523"/>
      <c r="J32" s="523"/>
      <c r="K32" s="523"/>
      <c r="L32" s="523"/>
      <c r="M32" s="523"/>
      <c r="N32" s="523"/>
      <c r="O32" s="523"/>
      <c r="P32" s="523"/>
      <c r="Q32" s="523"/>
      <c r="R32" s="523"/>
      <c r="S32" s="538"/>
      <c r="T32" s="538"/>
      <c r="U32" s="538"/>
      <c r="V32" s="538"/>
      <c r="W32" s="539"/>
      <c r="X32" s="500"/>
      <c r="Y32" s="500"/>
      <c r="Z32" s="500"/>
      <c r="AA32" s="500"/>
      <c r="AB32" s="500"/>
      <c r="AC32" s="500"/>
      <c r="AD32" s="500"/>
      <c r="AE32" s="500"/>
      <c r="AF32" s="500"/>
      <c r="AG32" s="500"/>
      <c r="AH32" s="500"/>
      <c r="AI32" s="500"/>
      <c r="AJ32" s="500"/>
      <c r="AK32" s="500"/>
      <c r="AL32" s="500"/>
      <c r="AM32" s="500"/>
      <c r="AN32" s="500"/>
      <c r="AO32" s="500"/>
      <c r="AP32" s="500"/>
      <c r="AQ32" s="500"/>
      <c r="AR32" s="35">
        <v>0</v>
      </c>
    </row>
    <row r="33" s="35" customFormat="1" ht="17.25" hidden="1" customHeight="1" spans="1:44">
      <c r="A33" s="450"/>
      <c r="C33" s="216"/>
      <c r="D33" s="1262">
        <v>4</v>
      </c>
      <c r="E33" s="452" t="s">
        <v>174</v>
      </c>
      <c r="F33" s="453" t="s">
        <v>19</v>
      </c>
      <c r="G33" s="452"/>
      <c r="H33" s="502"/>
      <c r="I33" s="513"/>
      <c r="J33" s="514"/>
      <c r="K33" s="515"/>
      <c r="L33" s="515"/>
      <c r="M33" s="515"/>
      <c r="N33" s="516"/>
      <c r="O33" s="515"/>
      <c r="P33" s="515"/>
      <c r="Q33" s="515"/>
      <c r="R33" s="535"/>
      <c r="S33" s="515"/>
      <c r="T33" s="515"/>
      <c r="U33" s="515"/>
      <c r="V33" s="535"/>
      <c r="W33" s="536"/>
      <c r="X33" s="499"/>
      <c r="Y33" s="499"/>
      <c r="Z33" s="499"/>
      <c r="AA33" s="499"/>
      <c r="AB33" s="499"/>
      <c r="AC33" s="499" t="s">
        <v>175</v>
      </c>
      <c r="AD33" s="499" t="s">
        <v>176</v>
      </c>
      <c r="AE33" s="499" t="s">
        <v>177</v>
      </c>
      <c r="AF33" s="499" t="s">
        <v>178</v>
      </c>
      <c r="AG33" s="499" t="s">
        <v>179</v>
      </c>
      <c r="AH33" s="49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499" t="str">
        <f>IF($G$33=0,"",$G$33)</f>
        <v/>
      </c>
      <c r="AJ33" s="499" t="str">
        <f>IF($J$33=0,"",$J$33)</f>
        <v/>
      </c>
      <c r="AK33" s="499" t="str">
        <f>IF($K$33="нет","без дифференциации",IF($N$33=0,"",$N$33))</f>
        <v/>
      </c>
      <c r="AL33" s="499" t="str">
        <f>IF($O$33="нет","без дифференциации",IF($R$33=0,"",$R$33))</f>
        <v/>
      </c>
      <c r="AM33" s="499" t="str">
        <f>IF($S$33="нет","без дифференциации",IF($V$33=0,"",$V$33))</f>
        <v/>
      </c>
      <c r="AN33" s="1272">
        <f>$I$33</f>
        <v>0</v>
      </c>
      <c r="AO33" s="499" t="str">
        <f>$I$33&amp;"."&amp;$M$33</f>
        <v>.</v>
      </c>
      <c r="AP33" s="500" t="str">
        <f>$I$33&amp;"."&amp;$M$33&amp;"."&amp;$Q$33</f>
        <v>..</v>
      </c>
      <c r="AQ33" s="500" t="str">
        <f>$I$33&amp;"."&amp;$M$33&amp;"."&amp;$Q$33&amp;"."&amp;$U$33</f>
        <v>...</v>
      </c>
      <c r="AR33" s="35">
        <v>0</v>
      </c>
    </row>
    <row r="34" s="35" customFormat="1" ht="17.25" hidden="1" customHeight="1" spans="1:44">
      <c r="A34" s="450"/>
      <c r="D34" s="1262"/>
      <c r="E34" s="452"/>
      <c r="F34" s="455"/>
      <c r="G34" s="452"/>
      <c r="H34" s="503"/>
      <c r="I34" s="517"/>
      <c r="J34" s="518"/>
      <c r="K34" s="519"/>
      <c r="L34" s="519"/>
      <c r="M34" s="519"/>
      <c r="N34" s="520"/>
      <c r="O34" s="519"/>
      <c r="P34" s="519"/>
      <c r="Q34" s="519"/>
      <c r="R34" s="521"/>
      <c r="S34" s="519"/>
      <c r="T34" s="522"/>
      <c r="U34" s="522"/>
      <c r="V34" s="522"/>
      <c r="W34" s="537"/>
      <c r="X34" s="500"/>
      <c r="Y34" s="500"/>
      <c r="Z34" s="500"/>
      <c r="AA34" s="500"/>
      <c r="AB34" s="500"/>
      <c r="AC34" s="500"/>
      <c r="AD34" s="500"/>
      <c r="AE34" s="500"/>
      <c r="AF34" s="500"/>
      <c r="AG34" s="500"/>
      <c r="AH34" s="500"/>
      <c r="AI34" s="500"/>
      <c r="AJ34" s="500"/>
      <c r="AK34" s="500"/>
      <c r="AL34" s="500"/>
      <c r="AM34" s="500"/>
      <c r="AN34" s="500"/>
      <c r="AO34" s="500"/>
      <c r="AP34" s="500"/>
      <c r="AQ34" s="500"/>
      <c r="AR34" s="35">
        <v>0</v>
      </c>
    </row>
    <row r="35" s="35" customFormat="1" ht="17.25" hidden="1" customHeight="1" spans="1:44">
      <c r="A35" s="450"/>
      <c r="D35" s="21"/>
      <c r="E35" s="456"/>
      <c r="F35" s="455"/>
      <c r="G35" s="456"/>
      <c r="H35" s="503"/>
      <c r="I35" s="517"/>
      <c r="J35" s="449"/>
      <c r="K35" s="519"/>
      <c r="L35" s="519"/>
      <c r="M35" s="519"/>
      <c r="N35" s="521"/>
      <c r="O35" s="519"/>
      <c r="P35" s="519"/>
      <c r="Q35" s="522"/>
      <c r="R35" s="522"/>
      <c r="W35" s="537"/>
      <c r="X35" s="500"/>
      <c r="Y35" s="500"/>
      <c r="Z35" s="500"/>
      <c r="AA35" s="500"/>
      <c r="AB35" s="500"/>
      <c r="AC35" s="500"/>
      <c r="AD35" s="500"/>
      <c r="AE35" s="500"/>
      <c r="AF35" s="500"/>
      <c r="AG35" s="500"/>
      <c r="AH35" s="500"/>
      <c r="AI35" s="500"/>
      <c r="AJ35" s="500"/>
      <c r="AK35" s="500"/>
      <c r="AL35" s="500"/>
      <c r="AM35" s="500"/>
      <c r="AN35" s="500"/>
      <c r="AO35" s="500"/>
      <c r="AP35" s="500"/>
      <c r="AQ35" s="500"/>
      <c r="AR35" s="35">
        <v>0</v>
      </c>
    </row>
    <row r="36" s="35" customFormat="1" ht="17.25" hidden="1" customHeight="1" spans="1:44">
      <c r="A36" s="450"/>
      <c r="D36" s="21"/>
      <c r="E36" s="456"/>
      <c r="F36" s="455"/>
      <c r="G36" s="456"/>
      <c r="H36" s="503"/>
      <c r="I36" s="517"/>
      <c r="J36" s="449"/>
      <c r="K36" s="519"/>
      <c r="L36" s="522"/>
      <c r="M36" s="522"/>
      <c r="N36" s="522"/>
      <c r="O36" s="522"/>
      <c r="P36" s="522"/>
      <c r="Q36" s="522"/>
      <c r="R36" s="522"/>
      <c r="W36" s="537"/>
      <c r="X36" s="500"/>
      <c r="Y36" s="500"/>
      <c r="Z36" s="500"/>
      <c r="AA36" s="500"/>
      <c r="AB36" s="500"/>
      <c r="AC36" s="500"/>
      <c r="AD36" s="500"/>
      <c r="AE36" s="500"/>
      <c r="AF36" s="500"/>
      <c r="AG36" s="500"/>
      <c r="AH36" s="500"/>
      <c r="AI36" s="500"/>
      <c r="AJ36" s="500"/>
      <c r="AK36" s="500"/>
      <c r="AL36" s="500"/>
      <c r="AM36" s="500"/>
      <c r="AN36" s="500"/>
      <c r="AO36" s="500"/>
      <c r="AP36" s="500"/>
      <c r="AQ36" s="500"/>
      <c r="AR36" s="35">
        <v>0</v>
      </c>
    </row>
    <row r="37" s="35" customFormat="1" ht="17.25" hidden="1" customHeight="1" spans="1:44">
      <c r="A37" s="450"/>
      <c r="D37" s="21"/>
      <c r="E37" s="456"/>
      <c r="F37" s="458"/>
      <c r="G37" s="456"/>
      <c r="H37" s="504"/>
      <c r="I37" s="523"/>
      <c r="J37" s="523"/>
      <c r="K37" s="523"/>
      <c r="L37" s="523"/>
      <c r="M37" s="523"/>
      <c r="N37" s="523"/>
      <c r="O37" s="523"/>
      <c r="P37" s="523"/>
      <c r="Q37" s="523"/>
      <c r="R37" s="523"/>
      <c r="S37" s="538"/>
      <c r="T37" s="538"/>
      <c r="U37" s="538"/>
      <c r="V37" s="538"/>
      <c r="W37" s="539"/>
      <c r="X37" s="500"/>
      <c r="Y37" s="500"/>
      <c r="Z37" s="500"/>
      <c r="AA37" s="500"/>
      <c r="AB37" s="500"/>
      <c r="AC37" s="500"/>
      <c r="AD37" s="500"/>
      <c r="AE37" s="500"/>
      <c r="AF37" s="500"/>
      <c r="AG37" s="500"/>
      <c r="AH37" s="500"/>
      <c r="AI37" s="500"/>
      <c r="AJ37" s="500"/>
      <c r="AK37" s="500"/>
      <c r="AL37" s="500"/>
      <c r="AM37" s="500"/>
      <c r="AN37" s="500"/>
      <c r="AO37" s="500"/>
      <c r="AP37" s="500"/>
      <c r="AQ37" s="500"/>
      <c r="AR37" s="35">
        <v>0</v>
      </c>
    </row>
    <row r="38" s="35" customFormat="1" ht="17.25" hidden="1" customHeight="1" spans="1:44">
      <c r="A38" s="450"/>
      <c r="C38" s="216"/>
      <c r="D38" s="1262">
        <v>5</v>
      </c>
      <c r="E38" s="452" t="s">
        <v>180</v>
      </c>
      <c r="F38" s="453" t="s">
        <v>19</v>
      </c>
      <c r="G38" s="452"/>
      <c r="H38" s="502"/>
      <c r="I38" s="513"/>
      <c r="J38" s="514"/>
      <c r="K38" s="515"/>
      <c r="L38" s="515"/>
      <c r="M38" s="515"/>
      <c r="N38" s="516"/>
      <c r="O38" s="515"/>
      <c r="P38" s="515"/>
      <c r="Q38" s="515"/>
      <c r="R38" s="535"/>
      <c r="S38" s="515"/>
      <c r="T38" s="515"/>
      <c r="U38" s="515"/>
      <c r="V38" s="535"/>
      <c r="W38" s="536"/>
      <c r="X38" s="499"/>
      <c r="Y38" s="499"/>
      <c r="Z38" s="499"/>
      <c r="AA38" s="499"/>
      <c r="AB38" s="499"/>
      <c r="AC38" s="499" t="s">
        <v>181</v>
      </c>
      <c r="AD38" s="499" t="s">
        <v>182</v>
      </c>
      <c r="AE38" s="499" t="s">
        <v>183</v>
      </c>
      <c r="AF38" s="499" t="s">
        <v>184</v>
      </c>
      <c r="AG38" s="499" t="s">
        <v>185</v>
      </c>
      <c r="AH38" s="499" t="str">
        <f>IF($E$38=0,"",$E$38)</f>
        <v>Тарифы на услуги по передаче тепловой энергии</v>
      </c>
      <c r="AI38" s="499" t="str">
        <f>IF($G$38=0,"",$G$38)</f>
        <v/>
      </c>
      <c r="AJ38" s="499" t="str">
        <f>IF($J$38=0,"",$J$38)</f>
        <v/>
      </c>
      <c r="AK38" s="499" t="str">
        <f>IF($K$38="нет","без дифференциации",IF($N$38=0,"",$N$38))</f>
        <v/>
      </c>
      <c r="AL38" s="499" t="str">
        <f>IF($O$38="нет","без дифференциации",IF($R$38=0,"",$R$38))</f>
        <v/>
      </c>
      <c r="AM38" s="499" t="str">
        <f>IF($S$38="нет","без дифференциации",IF($V$38=0,"",$V$38))</f>
        <v/>
      </c>
      <c r="AN38" s="1272">
        <f>$I$38</f>
        <v>0</v>
      </c>
      <c r="AO38" s="499" t="str">
        <f>$I$38&amp;"."&amp;$M$38</f>
        <v>.</v>
      </c>
      <c r="AP38" s="500" t="str">
        <f>$I$38&amp;"."&amp;$M$38&amp;"."&amp;$Q$38</f>
        <v>..</v>
      </c>
      <c r="AQ38" s="500" t="str">
        <f>$I$38&amp;"."&amp;$M$38&amp;"."&amp;$Q$38&amp;"."&amp;$U$38</f>
        <v>...</v>
      </c>
      <c r="AR38" s="35">
        <v>0</v>
      </c>
    </row>
    <row r="39" s="35" customFormat="1" ht="17.25" hidden="1" customHeight="1" spans="1:44">
      <c r="A39" s="450"/>
      <c r="D39" s="1262"/>
      <c r="E39" s="452"/>
      <c r="F39" s="455"/>
      <c r="G39" s="452"/>
      <c r="H39" s="503"/>
      <c r="I39" s="517"/>
      <c r="J39" s="518"/>
      <c r="K39" s="519"/>
      <c r="L39" s="519"/>
      <c r="M39" s="519"/>
      <c r="N39" s="520"/>
      <c r="O39" s="519"/>
      <c r="P39" s="519"/>
      <c r="Q39" s="519"/>
      <c r="R39" s="521"/>
      <c r="S39" s="519"/>
      <c r="T39" s="522"/>
      <c r="U39" s="522"/>
      <c r="V39" s="522"/>
      <c r="W39" s="537"/>
      <c r="X39" s="500"/>
      <c r="Y39" s="500"/>
      <c r="Z39" s="500"/>
      <c r="AA39" s="500"/>
      <c r="AB39" s="500"/>
      <c r="AC39" s="500"/>
      <c r="AD39" s="500"/>
      <c r="AE39" s="500"/>
      <c r="AF39" s="500"/>
      <c r="AG39" s="500"/>
      <c r="AH39" s="500"/>
      <c r="AI39" s="500"/>
      <c r="AJ39" s="500"/>
      <c r="AK39" s="500"/>
      <c r="AL39" s="500"/>
      <c r="AM39" s="500"/>
      <c r="AN39" s="500"/>
      <c r="AO39" s="500"/>
      <c r="AP39" s="500"/>
      <c r="AQ39" s="500"/>
      <c r="AR39" s="35">
        <v>0</v>
      </c>
    </row>
    <row r="40" s="35" customFormat="1" ht="17.25" hidden="1" customHeight="1" spans="1:44">
      <c r="A40" s="450"/>
      <c r="D40" s="21"/>
      <c r="E40" s="456"/>
      <c r="F40" s="455"/>
      <c r="G40" s="456"/>
      <c r="H40" s="503"/>
      <c r="I40" s="517"/>
      <c r="J40" s="449"/>
      <c r="K40" s="519"/>
      <c r="L40" s="519"/>
      <c r="M40" s="519"/>
      <c r="N40" s="521"/>
      <c r="O40" s="519"/>
      <c r="P40" s="519"/>
      <c r="Q40" s="522"/>
      <c r="R40" s="522"/>
      <c r="W40" s="537"/>
      <c r="X40" s="500"/>
      <c r="Y40" s="500"/>
      <c r="Z40" s="500"/>
      <c r="AA40" s="500"/>
      <c r="AB40" s="500"/>
      <c r="AC40" s="500"/>
      <c r="AD40" s="500"/>
      <c r="AE40" s="500"/>
      <c r="AF40" s="500"/>
      <c r="AG40" s="500"/>
      <c r="AH40" s="500"/>
      <c r="AI40" s="500"/>
      <c r="AJ40" s="500"/>
      <c r="AK40" s="500"/>
      <c r="AL40" s="500"/>
      <c r="AM40" s="500"/>
      <c r="AN40" s="500"/>
      <c r="AO40" s="500"/>
      <c r="AP40" s="500"/>
      <c r="AQ40" s="500"/>
      <c r="AR40" s="35">
        <v>0</v>
      </c>
    </row>
    <row r="41" s="35" customFormat="1" ht="17.25" hidden="1" customHeight="1" spans="1:44">
      <c r="A41" s="450"/>
      <c r="D41" s="21"/>
      <c r="E41" s="456"/>
      <c r="F41" s="455"/>
      <c r="G41" s="456"/>
      <c r="H41" s="503"/>
      <c r="I41" s="517"/>
      <c r="J41" s="449"/>
      <c r="K41" s="519"/>
      <c r="L41" s="522"/>
      <c r="M41" s="522"/>
      <c r="N41" s="522"/>
      <c r="O41" s="522"/>
      <c r="P41" s="522"/>
      <c r="Q41" s="522"/>
      <c r="R41" s="522"/>
      <c r="W41" s="537"/>
      <c r="X41" s="500"/>
      <c r="Y41" s="500"/>
      <c r="Z41" s="500"/>
      <c r="AA41" s="500"/>
      <c r="AB41" s="500"/>
      <c r="AC41" s="500"/>
      <c r="AD41" s="500"/>
      <c r="AE41" s="500"/>
      <c r="AF41" s="500"/>
      <c r="AG41" s="500"/>
      <c r="AH41" s="500"/>
      <c r="AI41" s="500"/>
      <c r="AJ41" s="500"/>
      <c r="AK41" s="500"/>
      <c r="AL41" s="500"/>
      <c r="AM41" s="500"/>
      <c r="AN41" s="500"/>
      <c r="AO41" s="500"/>
      <c r="AP41" s="500"/>
      <c r="AQ41" s="500"/>
      <c r="AR41" s="35">
        <v>0</v>
      </c>
    </row>
    <row r="42" s="35" customFormat="1" ht="17.25" hidden="1" customHeight="1" spans="1:44">
      <c r="A42" s="450"/>
      <c r="D42" s="21"/>
      <c r="E42" s="456"/>
      <c r="F42" s="458"/>
      <c r="G42" s="456"/>
      <c r="H42" s="504"/>
      <c r="I42" s="523"/>
      <c r="J42" s="523"/>
      <c r="K42" s="523"/>
      <c r="L42" s="523"/>
      <c r="M42" s="523"/>
      <c r="N42" s="523"/>
      <c r="O42" s="523"/>
      <c r="P42" s="523"/>
      <c r="Q42" s="523"/>
      <c r="R42" s="523"/>
      <c r="S42" s="538"/>
      <c r="T42" s="538"/>
      <c r="U42" s="538"/>
      <c r="V42" s="538"/>
      <c r="W42" s="539"/>
      <c r="X42" s="500"/>
      <c r="Y42" s="500"/>
      <c r="Z42" s="500"/>
      <c r="AA42" s="500"/>
      <c r="AB42" s="500"/>
      <c r="AC42" s="500"/>
      <c r="AD42" s="500"/>
      <c r="AE42" s="500"/>
      <c r="AF42" s="500"/>
      <c r="AG42" s="500"/>
      <c r="AH42" s="500"/>
      <c r="AI42" s="500"/>
      <c r="AJ42" s="500"/>
      <c r="AK42" s="500"/>
      <c r="AL42" s="500"/>
      <c r="AM42" s="500"/>
      <c r="AN42" s="500"/>
      <c r="AO42" s="500"/>
      <c r="AP42" s="500"/>
      <c r="AQ42" s="500"/>
      <c r="AR42" s="35">
        <v>0</v>
      </c>
    </row>
    <row r="43" s="35" customFormat="1" ht="17.25" hidden="1" customHeight="1" spans="1:44">
      <c r="A43" s="450"/>
      <c r="C43" s="216"/>
      <c r="D43" s="1262">
        <v>6</v>
      </c>
      <c r="E43" s="452" t="s">
        <v>186</v>
      </c>
      <c r="F43" s="453" t="s">
        <v>19</v>
      </c>
      <c r="G43" s="452"/>
      <c r="H43" s="502"/>
      <c r="I43" s="513"/>
      <c r="J43" s="514"/>
      <c r="K43" s="515"/>
      <c r="L43" s="515"/>
      <c r="M43" s="515"/>
      <c r="N43" s="516"/>
      <c r="O43" s="515"/>
      <c r="P43" s="515"/>
      <c r="Q43" s="515"/>
      <c r="R43" s="535"/>
      <c r="S43" s="515"/>
      <c r="T43" s="515"/>
      <c r="U43" s="515"/>
      <c r="V43" s="535"/>
      <c r="W43" s="536"/>
      <c r="X43" s="499"/>
      <c r="Y43" s="499"/>
      <c r="Z43" s="499"/>
      <c r="AA43" s="499"/>
      <c r="AB43" s="499"/>
      <c r="AC43" s="499" t="s">
        <v>187</v>
      </c>
      <c r="AD43" s="499" t="s">
        <v>188</v>
      </c>
      <c r="AE43" s="499" t="s">
        <v>189</v>
      </c>
      <c r="AF43" s="499" t="s">
        <v>190</v>
      </c>
      <c r="AG43" s="499" t="s">
        <v>191</v>
      </c>
      <c r="AH43" s="499" t="str">
        <f>IF($E$43=0,"",$E$43)</f>
        <v>Тарифы на услуги по передаче теплоносителя</v>
      </c>
      <c r="AI43" s="499" t="str">
        <f>IF($G$43=0,"",$G$43)</f>
        <v/>
      </c>
      <c r="AJ43" s="499" t="str">
        <f>IF($J$43=0,"",$J$43)</f>
        <v/>
      </c>
      <c r="AK43" s="499" t="str">
        <f>IF($K$43="нет","без дифференциации",IF($N$43=0,"",$N$43))</f>
        <v/>
      </c>
      <c r="AL43" s="499" t="str">
        <f>IF($O$43="нет","без дифференциации",IF($R$43=0,"",$R$43))</f>
        <v/>
      </c>
      <c r="AM43" s="499" t="str">
        <f>IF($S$43="нет","без дифференциации",IF($V$43=0,"",$V$43))</f>
        <v/>
      </c>
      <c r="AN43" s="1272">
        <f>$I$43</f>
        <v>0</v>
      </c>
      <c r="AO43" s="499" t="str">
        <f>$I$43&amp;"."&amp;$M$43</f>
        <v>.</v>
      </c>
      <c r="AP43" s="500" t="str">
        <f>$I$43&amp;"."&amp;$M$43&amp;"."&amp;$Q$43</f>
        <v>..</v>
      </c>
      <c r="AQ43" s="500" t="str">
        <f>$I$43&amp;"."&amp;$M$43&amp;"."&amp;$Q$43&amp;"."&amp;$U$43</f>
        <v>...</v>
      </c>
      <c r="AR43" s="35">
        <v>0</v>
      </c>
    </row>
    <row r="44" s="35" customFormat="1" ht="17.25" hidden="1" customHeight="1" spans="1:44">
      <c r="A44" s="450"/>
      <c r="D44" s="1262"/>
      <c r="E44" s="452"/>
      <c r="F44" s="455"/>
      <c r="G44" s="452"/>
      <c r="H44" s="503"/>
      <c r="I44" s="517"/>
      <c r="J44" s="518"/>
      <c r="K44" s="519"/>
      <c r="L44" s="519"/>
      <c r="M44" s="519"/>
      <c r="N44" s="520"/>
      <c r="O44" s="519"/>
      <c r="P44" s="519"/>
      <c r="Q44" s="519"/>
      <c r="R44" s="521"/>
      <c r="S44" s="519"/>
      <c r="T44" s="522"/>
      <c r="U44" s="522"/>
      <c r="V44" s="522"/>
      <c r="W44" s="537"/>
      <c r="X44" s="500"/>
      <c r="Y44" s="500"/>
      <c r="Z44" s="500"/>
      <c r="AA44" s="500"/>
      <c r="AB44" s="500"/>
      <c r="AC44" s="500"/>
      <c r="AD44" s="500"/>
      <c r="AE44" s="500"/>
      <c r="AF44" s="500"/>
      <c r="AG44" s="500"/>
      <c r="AH44" s="500"/>
      <c r="AI44" s="500"/>
      <c r="AJ44" s="500"/>
      <c r="AK44" s="500"/>
      <c r="AL44" s="500"/>
      <c r="AM44" s="500"/>
      <c r="AN44" s="500"/>
      <c r="AO44" s="500"/>
      <c r="AP44" s="500"/>
      <c r="AQ44" s="500"/>
      <c r="AR44" s="35">
        <v>0</v>
      </c>
    </row>
    <row r="45" s="35" customFormat="1" ht="17.25" hidden="1" customHeight="1" spans="1:44">
      <c r="A45" s="450"/>
      <c r="D45" s="21"/>
      <c r="E45" s="456"/>
      <c r="F45" s="455"/>
      <c r="G45" s="456"/>
      <c r="H45" s="503"/>
      <c r="I45" s="517"/>
      <c r="J45" s="449"/>
      <c r="K45" s="519"/>
      <c r="L45" s="519"/>
      <c r="M45" s="519"/>
      <c r="N45" s="521"/>
      <c r="O45" s="519"/>
      <c r="P45" s="519"/>
      <c r="Q45" s="522"/>
      <c r="R45" s="522"/>
      <c r="W45" s="537"/>
      <c r="X45" s="500"/>
      <c r="Y45" s="500"/>
      <c r="Z45" s="500"/>
      <c r="AA45" s="500"/>
      <c r="AB45" s="500"/>
      <c r="AC45" s="500"/>
      <c r="AD45" s="500"/>
      <c r="AE45" s="500"/>
      <c r="AF45" s="500"/>
      <c r="AG45" s="500"/>
      <c r="AH45" s="500"/>
      <c r="AI45" s="500"/>
      <c r="AJ45" s="500"/>
      <c r="AK45" s="500"/>
      <c r="AL45" s="500"/>
      <c r="AM45" s="500"/>
      <c r="AN45" s="500"/>
      <c r="AO45" s="500"/>
      <c r="AP45" s="500"/>
      <c r="AQ45" s="500"/>
      <c r="AR45" s="35">
        <v>0</v>
      </c>
    </row>
    <row r="46" s="35" customFormat="1" ht="17.25" hidden="1" customHeight="1" spans="1:44">
      <c r="A46" s="450"/>
      <c r="C46" s="216"/>
      <c r="D46" s="21"/>
      <c r="E46" s="456"/>
      <c r="F46" s="455"/>
      <c r="G46" s="456"/>
      <c r="H46" s="503"/>
      <c r="I46" s="517"/>
      <c r="J46" s="449"/>
      <c r="K46" s="519"/>
      <c r="L46" s="522"/>
      <c r="M46" s="522"/>
      <c r="N46" s="522"/>
      <c r="O46" s="522"/>
      <c r="P46" s="522"/>
      <c r="Q46" s="522"/>
      <c r="R46" s="522"/>
      <c r="W46" s="537"/>
      <c r="Y46" s="499"/>
      <c r="Z46" s="499"/>
      <c r="AA46" s="499"/>
      <c r="AB46" s="499"/>
      <c r="AC46" s="499"/>
      <c r="AD46" s="499"/>
      <c r="AE46" s="499"/>
      <c r="AF46" s="499"/>
      <c r="AG46" s="499"/>
      <c r="AH46" s="499"/>
      <c r="AI46" s="499"/>
      <c r="AJ46" s="499"/>
      <c r="AK46" s="499"/>
      <c r="AL46" s="499"/>
      <c r="AM46" s="499"/>
      <c r="AN46" s="499"/>
      <c r="AO46" s="499"/>
      <c r="AP46" s="499"/>
      <c r="AQ46" s="499"/>
      <c r="AR46" s="35">
        <v>0</v>
      </c>
    </row>
    <row r="47" s="35" customFormat="1" ht="17.25" hidden="1" customHeight="1" spans="1:44">
      <c r="A47" s="450"/>
      <c r="D47" s="21"/>
      <c r="E47" s="456"/>
      <c r="F47" s="458"/>
      <c r="G47" s="456"/>
      <c r="H47" s="504"/>
      <c r="I47" s="523"/>
      <c r="J47" s="523"/>
      <c r="K47" s="523"/>
      <c r="L47" s="523"/>
      <c r="M47" s="523"/>
      <c r="N47" s="523"/>
      <c r="O47" s="523"/>
      <c r="P47" s="523"/>
      <c r="Q47" s="523"/>
      <c r="R47" s="523"/>
      <c r="S47" s="538"/>
      <c r="T47" s="538"/>
      <c r="U47" s="538"/>
      <c r="V47" s="538"/>
      <c r="W47" s="539"/>
      <c r="X47" s="500"/>
      <c r="Y47" s="500"/>
      <c r="Z47" s="500"/>
      <c r="AA47" s="500"/>
      <c r="AB47" s="500"/>
      <c r="AC47" s="500"/>
      <c r="AD47" s="500"/>
      <c r="AE47" s="500"/>
      <c r="AF47" s="500"/>
      <c r="AG47" s="500"/>
      <c r="AH47" s="500"/>
      <c r="AI47" s="500"/>
      <c r="AJ47" s="500"/>
      <c r="AK47" s="500"/>
      <c r="AL47" s="500"/>
      <c r="AM47" s="500"/>
      <c r="AN47" s="500"/>
      <c r="AO47" s="500"/>
      <c r="AP47" s="500"/>
      <c r="AQ47" s="500"/>
      <c r="AR47" s="35">
        <v>0</v>
      </c>
    </row>
    <row r="48" s="35" customFormat="1" ht="17.25" hidden="1" customHeight="1" spans="1:44">
      <c r="A48" s="450"/>
      <c r="C48" s="216"/>
      <c r="D48" s="1265">
        <v>7</v>
      </c>
      <c r="E48" s="580" t="s">
        <v>192</v>
      </c>
      <c r="F48" s="453" t="s">
        <v>19</v>
      </c>
      <c r="G48" s="580"/>
      <c r="H48" s="502"/>
      <c r="I48" s="513"/>
      <c r="J48" s="514"/>
      <c r="K48" s="515"/>
      <c r="L48" s="515"/>
      <c r="M48" s="515"/>
      <c r="N48" s="516"/>
      <c r="O48" s="515"/>
      <c r="P48" s="515"/>
      <c r="Q48" s="515"/>
      <c r="R48" s="535"/>
      <c r="S48" s="515"/>
      <c r="T48" s="515"/>
      <c r="U48" s="515"/>
      <c r="V48" s="535"/>
      <c r="W48" s="536"/>
      <c r="X48" s="499"/>
      <c r="Y48" s="499"/>
      <c r="Z48" s="499"/>
      <c r="AA48" s="499"/>
      <c r="AB48" s="499"/>
      <c r="AC48" s="499" t="s">
        <v>193</v>
      </c>
      <c r="AD48" s="499" t="s">
        <v>194</v>
      </c>
      <c r="AE48" s="499" t="s">
        <v>195</v>
      </c>
      <c r="AF48" s="499" t="s">
        <v>196</v>
      </c>
      <c r="AG48" s="499" t="s">
        <v>197</v>
      </c>
      <c r="AH48" s="499" t="str">
        <f>IF($E$48=0,"",$E$48)</f>
        <v>Плата за услуги по поддержанию резервной тепловой мощности при отсутствии потребления тепловой энергии</v>
      </c>
      <c r="AI48" s="499" t="str">
        <f>IF($G$48=0,"",$G$48)</f>
        <v/>
      </c>
      <c r="AJ48" s="499" t="str">
        <f>IF($J$48=0,"",$J$48)</f>
        <v/>
      </c>
      <c r="AK48" s="499" t="str">
        <f>IF($K$48="нет","без дифференциации",IF($N$48=0,"",$N$48))</f>
        <v/>
      </c>
      <c r="AL48" s="499" t="str">
        <f>IF($O$48="нет","без дифференциации",IF($R$48=0,"",$R$48))</f>
        <v/>
      </c>
      <c r="AM48" s="499" t="str">
        <f>IF($S$48="нет","без дифференциации",IF($V$48=0,"",$V$48))</f>
        <v/>
      </c>
      <c r="AN48" s="1272">
        <f>$I$48</f>
        <v>0</v>
      </c>
      <c r="AO48" s="499" t="str">
        <f>$I$48&amp;"."&amp;$M$48</f>
        <v>.</v>
      </c>
      <c r="AP48" s="500" t="str">
        <f>$I$48&amp;"."&amp;$M$48&amp;"."&amp;$Q$48</f>
        <v>..</v>
      </c>
      <c r="AQ48" s="500" t="str">
        <f>$I$48&amp;"."&amp;$M$48&amp;"."&amp;$Q$48&amp;"."&amp;$U$48</f>
        <v>...</v>
      </c>
      <c r="AR48" s="35">
        <v>0</v>
      </c>
    </row>
    <row r="49" s="35" customFormat="1" ht="17.25" hidden="1" customHeight="1" spans="1:44">
      <c r="A49" s="450"/>
      <c r="D49" s="1266"/>
      <c r="E49" s="774"/>
      <c r="F49" s="455"/>
      <c r="G49" s="774"/>
      <c r="H49" s="503"/>
      <c r="I49" s="517"/>
      <c r="J49" s="518"/>
      <c r="K49" s="519"/>
      <c r="L49" s="519"/>
      <c r="M49" s="519"/>
      <c r="N49" s="520"/>
      <c r="O49" s="519"/>
      <c r="P49" s="519"/>
      <c r="Q49" s="519"/>
      <c r="R49" s="521"/>
      <c r="S49" s="519"/>
      <c r="T49" s="522"/>
      <c r="U49" s="522"/>
      <c r="V49" s="522"/>
      <c r="W49" s="537"/>
      <c r="X49" s="500"/>
      <c r="Y49" s="500"/>
      <c r="Z49" s="500"/>
      <c r="AA49" s="500"/>
      <c r="AB49" s="500"/>
      <c r="AC49" s="500"/>
      <c r="AD49" s="500"/>
      <c r="AE49" s="500"/>
      <c r="AF49" s="500"/>
      <c r="AG49" s="500"/>
      <c r="AH49" s="500"/>
      <c r="AI49" s="500"/>
      <c r="AJ49" s="500"/>
      <c r="AK49" s="500"/>
      <c r="AL49" s="500"/>
      <c r="AM49" s="500"/>
      <c r="AN49" s="500"/>
      <c r="AO49" s="500"/>
      <c r="AP49" s="500"/>
      <c r="AQ49" s="500"/>
      <c r="AR49" s="35">
        <v>0</v>
      </c>
    </row>
    <row r="50" s="35" customFormat="1" ht="17.25" hidden="1" customHeight="1" spans="1:44">
      <c r="A50" s="450"/>
      <c r="D50" s="1266"/>
      <c r="E50" s="774"/>
      <c r="F50" s="455"/>
      <c r="G50" s="774"/>
      <c r="H50" s="503"/>
      <c r="I50" s="517"/>
      <c r="J50" s="449"/>
      <c r="K50" s="519"/>
      <c r="L50" s="519"/>
      <c r="M50" s="519"/>
      <c r="N50" s="521"/>
      <c r="O50" s="519"/>
      <c r="P50" s="519"/>
      <c r="Q50" s="522"/>
      <c r="R50" s="522"/>
      <c r="W50" s="537"/>
      <c r="X50" s="500"/>
      <c r="Y50" s="500"/>
      <c r="Z50" s="500"/>
      <c r="AA50" s="500"/>
      <c r="AB50" s="500"/>
      <c r="AC50" s="500"/>
      <c r="AD50" s="500"/>
      <c r="AE50" s="500"/>
      <c r="AF50" s="500"/>
      <c r="AG50" s="500"/>
      <c r="AH50" s="500"/>
      <c r="AI50" s="500"/>
      <c r="AJ50" s="500"/>
      <c r="AK50" s="500"/>
      <c r="AL50" s="500"/>
      <c r="AM50" s="500"/>
      <c r="AN50" s="500"/>
      <c r="AO50" s="500"/>
      <c r="AP50" s="500"/>
      <c r="AQ50" s="500"/>
      <c r="AR50" s="35">
        <v>0</v>
      </c>
    </row>
    <row r="51" s="35" customFormat="1" ht="17.25" hidden="1" customHeight="1" spans="1:44">
      <c r="A51" s="450"/>
      <c r="C51" s="216"/>
      <c r="D51" s="1266"/>
      <c r="E51" s="774"/>
      <c r="F51" s="455"/>
      <c r="G51" s="774"/>
      <c r="H51" s="503"/>
      <c r="I51" s="517"/>
      <c r="J51" s="449"/>
      <c r="K51" s="519"/>
      <c r="L51" s="522"/>
      <c r="M51" s="522"/>
      <c r="N51" s="522"/>
      <c r="O51" s="522"/>
      <c r="P51" s="522"/>
      <c r="Q51" s="522"/>
      <c r="R51" s="522"/>
      <c r="W51" s="537"/>
      <c r="Y51" s="499"/>
      <c r="Z51" s="499"/>
      <c r="AA51" s="499"/>
      <c r="AB51" s="499"/>
      <c r="AC51" s="499"/>
      <c r="AD51" s="499"/>
      <c r="AE51" s="499"/>
      <c r="AF51" s="499"/>
      <c r="AG51" s="499"/>
      <c r="AH51" s="499"/>
      <c r="AI51" s="499"/>
      <c r="AJ51" s="499"/>
      <c r="AK51" s="499"/>
      <c r="AL51" s="499"/>
      <c r="AM51" s="499"/>
      <c r="AN51" s="499"/>
      <c r="AO51" s="499"/>
      <c r="AP51" s="499"/>
      <c r="AQ51" s="499"/>
      <c r="AR51" s="35">
        <v>0</v>
      </c>
    </row>
    <row r="52" s="35" customFormat="1" ht="17.25" hidden="1" customHeight="1" spans="1:44">
      <c r="A52" s="450"/>
      <c r="D52" s="1267"/>
      <c r="E52" s="581"/>
      <c r="F52" s="458"/>
      <c r="G52" s="581"/>
      <c r="H52" s="504"/>
      <c r="I52" s="523"/>
      <c r="J52" s="523"/>
      <c r="K52" s="523"/>
      <c r="L52" s="523"/>
      <c r="M52" s="523"/>
      <c r="N52" s="523"/>
      <c r="O52" s="523"/>
      <c r="P52" s="523"/>
      <c r="Q52" s="523"/>
      <c r="R52" s="523"/>
      <c r="S52" s="538"/>
      <c r="T52" s="538"/>
      <c r="U52" s="538"/>
      <c r="V52" s="538"/>
      <c r="W52" s="539"/>
      <c r="X52" s="500"/>
      <c r="Y52" s="500"/>
      <c r="Z52" s="500"/>
      <c r="AA52" s="500"/>
      <c r="AB52" s="500"/>
      <c r="AC52" s="500"/>
      <c r="AD52" s="500"/>
      <c r="AE52" s="500"/>
      <c r="AF52" s="500"/>
      <c r="AG52" s="500"/>
      <c r="AH52" s="500"/>
      <c r="AI52" s="500"/>
      <c r="AJ52" s="500"/>
      <c r="AK52" s="500"/>
      <c r="AL52" s="500"/>
      <c r="AM52" s="500"/>
      <c r="AN52" s="500"/>
      <c r="AO52" s="500"/>
      <c r="AP52" s="500"/>
      <c r="AQ52" s="500"/>
      <c r="AR52" s="35">
        <v>0</v>
      </c>
    </row>
    <row r="53" s="35" customFormat="1" ht="17.25" hidden="1" customHeight="1" spans="1:44">
      <c r="A53" s="450"/>
      <c r="C53" s="216"/>
      <c r="D53" s="1262">
        <v>8</v>
      </c>
      <c r="E53" s="452" t="s">
        <v>198</v>
      </c>
      <c r="F53" s="453" t="s">
        <v>19</v>
      </c>
      <c r="G53" s="452"/>
      <c r="H53" s="502"/>
      <c r="I53" s="513"/>
      <c r="J53" s="514"/>
      <c r="K53" s="515"/>
      <c r="L53" s="515"/>
      <c r="M53" s="515"/>
      <c r="N53" s="516"/>
      <c r="O53" s="515"/>
      <c r="P53" s="515"/>
      <c r="Q53" s="515"/>
      <c r="R53" s="535"/>
      <c r="S53" s="515"/>
      <c r="T53" s="515"/>
      <c r="U53" s="515"/>
      <c r="V53" s="535"/>
      <c r="W53" s="536"/>
      <c r="X53" s="499"/>
      <c r="Y53" s="499"/>
      <c r="Z53" s="499"/>
      <c r="AA53" s="499"/>
      <c r="AB53" s="499"/>
      <c r="AC53" s="499" t="s">
        <v>199</v>
      </c>
      <c r="AD53" s="499" t="s">
        <v>200</v>
      </c>
      <c r="AE53" s="499" t="s">
        <v>201</v>
      </c>
      <c r="AF53" s="499" t="s">
        <v>202</v>
      </c>
      <c r="AG53" s="499" t="s">
        <v>203</v>
      </c>
      <c r="AH53" s="499" t="str">
        <f>IF($E$53=0,"",$E$53)</f>
        <v>Плата за подключение (технологическое присоединение) к системе теплоснабжения</v>
      </c>
      <c r="AI53" s="499" t="str">
        <f>IF($G$53=0,"",$G$53)</f>
        <v/>
      </c>
      <c r="AJ53" s="499" t="str">
        <f>IF($J$53=0,"",$J$53)</f>
        <v/>
      </c>
      <c r="AK53" s="499" t="str">
        <f>IF($K$53="нет","без дифференциации",IF($N$53=0,"",$N$53))</f>
        <v/>
      </c>
      <c r="AL53" s="499" t="str">
        <f>IF($O$53="нет","без дифференциации",IF($R$53=0,"",$R$53))</f>
        <v/>
      </c>
      <c r="AM53" s="499" t="str">
        <f>IF($S$53="нет","без дифференциации",IF($V$53=0,"",$V$53))</f>
        <v/>
      </c>
      <c r="AN53" s="1272">
        <f>$I$53</f>
        <v>0</v>
      </c>
      <c r="AO53" s="499" t="str">
        <f>$I$53&amp;"."&amp;$M$53</f>
        <v>.</v>
      </c>
      <c r="AP53" s="500" t="str">
        <f>$I$53&amp;"."&amp;$M$53&amp;"."&amp;$Q$53</f>
        <v>..</v>
      </c>
      <c r="AQ53" s="500" t="str">
        <f>$I$53&amp;"."&amp;$M$53&amp;"."&amp;$Q$53&amp;"."&amp;$U$53</f>
        <v>...</v>
      </c>
      <c r="AR53" s="35">
        <v>0</v>
      </c>
    </row>
    <row r="54" s="35" customFormat="1" ht="17.25" hidden="1" customHeight="1" spans="1:44">
      <c r="A54" s="450"/>
      <c r="D54" s="1262"/>
      <c r="E54" s="452"/>
      <c r="F54" s="455"/>
      <c r="G54" s="452"/>
      <c r="H54" s="503"/>
      <c r="I54" s="517"/>
      <c r="J54" s="518"/>
      <c r="K54" s="519"/>
      <c r="L54" s="519"/>
      <c r="M54" s="519"/>
      <c r="N54" s="520"/>
      <c r="O54" s="519"/>
      <c r="P54" s="519"/>
      <c r="Q54" s="519"/>
      <c r="R54" s="521"/>
      <c r="S54" s="519"/>
      <c r="T54" s="522"/>
      <c r="U54" s="522"/>
      <c r="V54" s="522"/>
      <c r="W54" s="537"/>
      <c r="X54" s="500"/>
      <c r="Y54" s="500"/>
      <c r="Z54" s="500"/>
      <c r="AA54" s="500"/>
      <c r="AB54" s="500"/>
      <c r="AC54" s="500"/>
      <c r="AD54" s="500"/>
      <c r="AE54" s="500"/>
      <c r="AF54" s="500"/>
      <c r="AG54" s="500"/>
      <c r="AH54" s="500"/>
      <c r="AI54" s="500"/>
      <c r="AJ54" s="500"/>
      <c r="AK54" s="500"/>
      <c r="AL54" s="500"/>
      <c r="AM54" s="500"/>
      <c r="AN54" s="500"/>
      <c r="AO54" s="500"/>
      <c r="AP54" s="500"/>
      <c r="AQ54" s="500"/>
      <c r="AR54" s="35">
        <v>0</v>
      </c>
    </row>
    <row r="55" s="35" customFormat="1" ht="17.25" hidden="1" customHeight="1" spans="1:44">
      <c r="A55" s="450"/>
      <c r="D55" s="21"/>
      <c r="E55" s="456"/>
      <c r="F55" s="455"/>
      <c r="G55" s="456"/>
      <c r="H55" s="503"/>
      <c r="I55" s="517"/>
      <c r="J55" s="449"/>
      <c r="K55" s="519"/>
      <c r="L55" s="519"/>
      <c r="M55" s="519"/>
      <c r="N55" s="521"/>
      <c r="O55" s="519"/>
      <c r="P55" s="519"/>
      <c r="Q55" s="522"/>
      <c r="R55" s="522"/>
      <c r="W55" s="537"/>
      <c r="X55" s="500"/>
      <c r="Y55" s="500"/>
      <c r="Z55" s="500"/>
      <c r="AA55" s="500"/>
      <c r="AB55" s="500"/>
      <c r="AC55" s="500"/>
      <c r="AD55" s="500"/>
      <c r="AE55" s="500"/>
      <c r="AF55" s="500"/>
      <c r="AG55" s="500"/>
      <c r="AH55" s="500"/>
      <c r="AI55" s="500"/>
      <c r="AJ55" s="500"/>
      <c r="AK55" s="500"/>
      <c r="AL55" s="500"/>
      <c r="AM55" s="500"/>
      <c r="AN55" s="500"/>
      <c r="AO55" s="500"/>
      <c r="AP55" s="500"/>
      <c r="AQ55" s="500"/>
      <c r="AR55" s="35">
        <v>0</v>
      </c>
    </row>
    <row r="56" s="35" customFormat="1" ht="17.25" hidden="1" customHeight="1" spans="1:44">
      <c r="A56" s="450"/>
      <c r="C56" s="216"/>
      <c r="D56" s="21"/>
      <c r="E56" s="456"/>
      <c r="F56" s="455"/>
      <c r="G56" s="456"/>
      <c r="H56" s="503"/>
      <c r="I56" s="517"/>
      <c r="J56" s="449"/>
      <c r="K56" s="519"/>
      <c r="L56" s="522"/>
      <c r="M56" s="522"/>
      <c r="N56" s="522"/>
      <c r="O56" s="522"/>
      <c r="P56" s="522"/>
      <c r="Q56" s="522"/>
      <c r="R56" s="522"/>
      <c r="W56" s="537"/>
      <c r="Y56" s="499"/>
      <c r="Z56" s="499"/>
      <c r="AA56" s="499"/>
      <c r="AB56" s="499"/>
      <c r="AC56" s="499"/>
      <c r="AD56" s="499"/>
      <c r="AE56" s="499"/>
      <c r="AF56" s="499"/>
      <c r="AG56" s="499"/>
      <c r="AH56" s="499"/>
      <c r="AI56" s="499"/>
      <c r="AJ56" s="499"/>
      <c r="AK56" s="499"/>
      <c r="AL56" s="499"/>
      <c r="AM56" s="499"/>
      <c r="AN56" s="499"/>
      <c r="AO56" s="499"/>
      <c r="AP56" s="499"/>
      <c r="AQ56" s="499"/>
      <c r="AR56" s="35">
        <v>0</v>
      </c>
    </row>
    <row r="57" s="35" customFormat="1" ht="17.25" hidden="1" customHeight="1" spans="1:44">
      <c r="A57" s="450"/>
      <c r="D57" s="21"/>
      <c r="E57" s="456"/>
      <c r="F57" s="458"/>
      <c r="G57" s="456"/>
      <c r="H57" s="504"/>
      <c r="I57" s="523"/>
      <c r="J57" s="523"/>
      <c r="K57" s="523"/>
      <c r="L57" s="523"/>
      <c r="M57" s="523"/>
      <c r="N57" s="523"/>
      <c r="O57" s="523"/>
      <c r="P57" s="523"/>
      <c r="Q57" s="523"/>
      <c r="R57" s="523"/>
      <c r="S57" s="538"/>
      <c r="T57" s="538"/>
      <c r="U57" s="538"/>
      <c r="V57" s="538"/>
      <c r="W57" s="539"/>
      <c r="X57" s="500"/>
      <c r="Y57" s="500"/>
      <c r="Z57" s="500"/>
      <c r="AA57" s="500"/>
      <c r="AB57" s="500"/>
      <c r="AC57" s="500"/>
      <c r="AD57" s="500"/>
      <c r="AE57" s="500"/>
      <c r="AF57" s="500"/>
      <c r="AG57" s="500"/>
      <c r="AH57" s="500"/>
      <c r="AI57" s="500"/>
      <c r="AJ57" s="500"/>
      <c r="AK57" s="500"/>
      <c r="AL57" s="500"/>
      <c r="AM57" s="500"/>
      <c r="AN57" s="500"/>
      <c r="AO57" s="500"/>
      <c r="AP57" s="500"/>
      <c r="AQ57" s="500"/>
      <c r="AR57" s="35">
        <v>0</v>
      </c>
    </row>
    <row r="58" s="35" customFormat="1" ht="17.25" hidden="1" customHeight="1" spans="1:44">
      <c r="A58" s="450"/>
      <c r="C58" s="216"/>
      <c r="D58" s="1262">
        <v>9</v>
      </c>
      <c r="E58" s="452" t="s">
        <v>204</v>
      </c>
      <c r="F58" s="453" t="s">
        <v>19</v>
      </c>
      <c r="G58" s="452"/>
      <c r="H58" s="502"/>
      <c r="I58" s="513"/>
      <c r="J58" s="514"/>
      <c r="K58" s="515"/>
      <c r="L58" s="515"/>
      <c r="M58" s="515"/>
      <c r="N58" s="516"/>
      <c r="O58" s="515"/>
      <c r="P58" s="515"/>
      <c r="Q58" s="515"/>
      <c r="R58" s="535"/>
      <c r="S58" s="515"/>
      <c r="T58" s="515"/>
      <c r="U58" s="515"/>
      <c r="V58" s="535"/>
      <c r="W58" s="536"/>
      <c r="X58" s="499"/>
      <c r="Y58" s="499"/>
      <c r="Z58" s="499"/>
      <c r="AA58" s="499"/>
      <c r="AB58" s="499"/>
      <c r="AC58" s="499" t="s">
        <v>205</v>
      </c>
      <c r="AD58" s="499" t="s">
        <v>206</v>
      </c>
      <c r="AE58" s="499" t="s">
        <v>207</v>
      </c>
      <c r="AF58" s="499" t="s">
        <v>208</v>
      </c>
      <c r="AG58" s="499" t="s">
        <v>209</v>
      </c>
      <c r="AH58" s="499" t="str">
        <f>IF($E$58=0,"",$E$58)</f>
        <v>Плата за подключение (технологическое присоединение) к системе теплоснабжения (индивидуальная)</v>
      </c>
      <c r="AI58" s="499" t="str">
        <f>IF($G$58=0,"",$G$58)</f>
        <v/>
      </c>
      <c r="AJ58" s="499" t="str">
        <f>IF($J$58=0,"",$J$58)</f>
        <v/>
      </c>
      <c r="AK58" s="499" t="str">
        <f>IF($K$58="нет","без дифференциации",IF($N$58=0,"",$N$58))</f>
        <v/>
      </c>
      <c r="AL58" s="499" t="str">
        <f>IF($O$58="нет","без дифференциации",IF($R$58=0,"",$R$58))</f>
        <v/>
      </c>
      <c r="AM58" s="499" t="str">
        <f>IF($S$58="нет","без дифференциации",IF($V$58=0,"",$V$58))</f>
        <v/>
      </c>
      <c r="AN58" s="1272">
        <f>$I$58</f>
        <v>0</v>
      </c>
      <c r="AO58" s="499" t="str">
        <f>$I$58&amp;"."&amp;$M$58</f>
        <v>.</v>
      </c>
      <c r="AP58" s="500" t="str">
        <f>$I$58&amp;"."&amp;$M$58&amp;"."&amp;$Q$58</f>
        <v>..</v>
      </c>
      <c r="AQ58" s="500" t="str">
        <f>$I$58&amp;"."&amp;$M$58&amp;"."&amp;$Q$58&amp;"."&amp;$U$58</f>
        <v>...</v>
      </c>
      <c r="AR58" s="35">
        <v>0</v>
      </c>
    </row>
    <row r="59" s="35" customFormat="1" ht="17.25" hidden="1" customHeight="1" spans="1:44">
      <c r="A59" s="450"/>
      <c r="D59" s="1262"/>
      <c r="E59" s="452"/>
      <c r="F59" s="455"/>
      <c r="G59" s="452"/>
      <c r="H59" s="503"/>
      <c r="I59" s="517"/>
      <c r="J59" s="518"/>
      <c r="K59" s="519"/>
      <c r="L59" s="519"/>
      <c r="M59" s="519"/>
      <c r="N59" s="520"/>
      <c r="O59" s="519"/>
      <c r="P59" s="519"/>
      <c r="Q59" s="519"/>
      <c r="R59" s="521"/>
      <c r="S59" s="519"/>
      <c r="T59" s="522"/>
      <c r="U59" s="522"/>
      <c r="V59" s="522"/>
      <c r="W59" s="537"/>
      <c r="X59" s="500"/>
      <c r="Y59" s="500"/>
      <c r="Z59" s="500"/>
      <c r="AA59" s="500"/>
      <c r="AB59" s="500"/>
      <c r="AC59" s="500"/>
      <c r="AD59" s="500"/>
      <c r="AE59" s="500"/>
      <c r="AF59" s="500"/>
      <c r="AG59" s="500"/>
      <c r="AH59" s="500"/>
      <c r="AI59" s="500"/>
      <c r="AJ59" s="500"/>
      <c r="AK59" s="500"/>
      <c r="AL59" s="500"/>
      <c r="AM59" s="500"/>
      <c r="AN59" s="500"/>
      <c r="AO59" s="500"/>
      <c r="AP59" s="500"/>
      <c r="AQ59" s="500"/>
      <c r="AR59" s="35">
        <v>0</v>
      </c>
    </row>
    <row r="60" s="35" customFormat="1" ht="17.25" hidden="1" customHeight="1" spans="1:44">
      <c r="A60" s="450"/>
      <c r="D60" s="21"/>
      <c r="E60" s="456"/>
      <c r="F60" s="455"/>
      <c r="G60" s="456"/>
      <c r="H60" s="503"/>
      <c r="I60" s="517"/>
      <c r="J60" s="449"/>
      <c r="K60" s="519"/>
      <c r="L60" s="519"/>
      <c r="M60" s="519"/>
      <c r="N60" s="521"/>
      <c r="O60" s="519"/>
      <c r="P60" s="519"/>
      <c r="Q60" s="522"/>
      <c r="R60" s="522"/>
      <c r="W60" s="537"/>
      <c r="X60" s="500"/>
      <c r="Y60" s="500"/>
      <c r="Z60" s="500"/>
      <c r="AA60" s="500"/>
      <c r="AB60" s="500"/>
      <c r="AC60" s="500"/>
      <c r="AD60" s="500"/>
      <c r="AE60" s="500"/>
      <c r="AF60" s="500"/>
      <c r="AG60" s="500"/>
      <c r="AH60" s="500"/>
      <c r="AI60" s="500"/>
      <c r="AJ60" s="500"/>
      <c r="AK60" s="500"/>
      <c r="AL60" s="500"/>
      <c r="AM60" s="500"/>
      <c r="AN60" s="500"/>
      <c r="AO60" s="500"/>
      <c r="AP60" s="500"/>
      <c r="AQ60" s="500"/>
      <c r="AR60" s="35">
        <v>0</v>
      </c>
    </row>
    <row r="61" s="35" customFormat="1" ht="17.25" hidden="1" customHeight="1" spans="1:44">
      <c r="A61" s="450"/>
      <c r="C61" s="216"/>
      <c r="D61" s="21"/>
      <c r="E61" s="456"/>
      <c r="F61" s="455"/>
      <c r="G61" s="456"/>
      <c r="H61" s="503"/>
      <c r="I61" s="517"/>
      <c r="J61" s="449"/>
      <c r="K61" s="519"/>
      <c r="L61" s="522"/>
      <c r="M61" s="522"/>
      <c r="N61" s="522"/>
      <c r="O61" s="522"/>
      <c r="P61" s="522"/>
      <c r="Q61" s="522"/>
      <c r="R61" s="522"/>
      <c r="W61" s="537"/>
      <c r="Y61" s="499"/>
      <c r="Z61" s="499"/>
      <c r="AA61" s="499"/>
      <c r="AB61" s="499"/>
      <c r="AC61" s="499"/>
      <c r="AD61" s="499"/>
      <c r="AE61" s="499"/>
      <c r="AF61" s="499"/>
      <c r="AG61" s="499"/>
      <c r="AH61" s="499"/>
      <c r="AI61" s="499"/>
      <c r="AJ61" s="499"/>
      <c r="AK61" s="499"/>
      <c r="AL61" s="499"/>
      <c r="AM61" s="499"/>
      <c r="AN61" s="499"/>
      <c r="AO61" s="499"/>
      <c r="AP61" s="499"/>
      <c r="AQ61" s="499"/>
      <c r="AR61" s="35">
        <v>0</v>
      </c>
    </row>
    <row r="62" s="35" customFormat="1" ht="17.25" hidden="1" customHeight="1" spans="1:44">
      <c r="A62" s="450"/>
      <c r="D62" s="21"/>
      <c r="E62" s="456"/>
      <c r="F62" s="458"/>
      <c r="G62" s="456"/>
      <c r="H62" s="504"/>
      <c r="I62" s="523"/>
      <c r="J62" s="523"/>
      <c r="K62" s="523"/>
      <c r="L62" s="523"/>
      <c r="M62" s="523"/>
      <c r="N62" s="523"/>
      <c r="O62" s="523"/>
      <c r="P62" s="523"/>
      <c r="Q62" s="523"/>
      <c r="R62" s="523"/>
      <c r="S62" s="538"/>
      <c r="T62" s="538"/>
      <c r="U62" s="538"/>
      <c r="V62" s="538"/>
      <c r="W62" s="539"/>
      <c r="X62" s="500"/>
      <c r="Y62" s="500"/>
      <c r="Z62" s="500"/>
      <c r="AA62" s="500"/>
      <c r="AB62" s="500"/>
      <c r="AC62" s="500"/>
      <c r="AD62" s="500"/>
      <c r="AE62" s="500"/>
      <c r="AF62" s="500"/>
      <c r="AG62" s="500"/>
      <c r="AH62" s="500"/>
      <c r="AI62" s="500"/>
      <c r="AJ62" s="500"/>
      <c r="AK62" s="500"/>
      <c r="AL62" s="500"/>
      <c r="AM62" s="500"/>
      <c r="AN62" s="500"/>
      <c r="AO62" s="500"/>
      <c r="AP62" s="500"/>
      <c r="AQ62" s="500"/>
      <c r="AR62" s="35">
        <v>0</v>
      </c>
    </row>
    <row r="63" s="35" customFormat="1" ht="17.25" hidden="1" customHeight="1" spans="1:44">
      <c r="A63" s="450"/>
      <c r="C63" s="216"/>
      <c r="D63" s="1262">
        <v>10</v>
      </c>
      <c r="E63" s="452" t="s">
        <v>210</v>
      </c>
      <c r="F63" s="453" t="s">
        <v>19</v>
      </c>
      <c r="G63" s="452"/>
      <c r="H63" s="502"/>
      <c r="I63" s="513"/>
      <c r="J63" s="514"/>
      <c r="K63" s="515"/>
      <c r="L63" s="515"/>
      <c r="M63" s="515"/>
      <c r="N63" s="516"/>
      <c r="O63" s="515"/>
      <c r="P63" s="515"/>
      <c r="Q63" s="515"/>
      <c r="R63" s="535"/>
      <c r="S63" s="515"/>
      <c r="T63" s="515"/>
      <c r="U63" s="515"/>
      <c r="V63" s="535"/>
      <c r="W63" s="536"/>
      <c r="X63" s="499"/>
      <c r="Y63" s="499"/>
      <c r="Z63" s="499"/>
      <c r="AA63" s="499"/>
      <c r="AB63" s="499"/>
      <c r="AC63" s="499" t="s">
        <v>211</v>
      </c>
      <c r="AD63" s="499" t="s">
        <v>212</v>
      </c>
      <c r="AE63" s="499" t="s">
        <v>213</v>
      </c>
      <c r="AF63" s="499" t="s">
        <v>214</v>
      </c>
      <c r="AG63" s="499" t="s">
        <v>215</v>
      </c>
      <c r="AH63" s="499" t="str">
        <f>IF($E$63=0,"",$E$63)</f>
        <v>Предельный уровень цены на тепловую энергию (мощность), поставляемую теплоснабжающими организациями потребителям</v>
      </c>
      <c r="AI63" s="499" t="str">
        <f>IF($G$63=0,"",$G$63)</f>
        <v/>
      </c>
      <c r="AJ63" s="499" t="str">
        <f>IF($J$63=0,"",$J$63)</f>
        <v/>
      </c>
      <c r="AK63" s="499" t="str">
        <f>IF($K$63="нет","без дифференциации",IF($N$63=0,"",$N$63))</f>
        <v/>
      </c>
      <c r="AL63" s="499" t="str">
        <f>IF($O$63="нет","без дифференциации",IF($R$63=0,"",$R$63))</f>
        <v/>
      </c>
      <c r="AM63" s="499" t="str">
        <f>IF($S$63="нет","без дифференциации",IF($V$63=0,"",$V$63))</f>
        <v/>
      </c>
      <c r="AN63" s="1272">
        <f>$I$63</f>
        <v>0</v>
      </c>
      <c r="AO63" s="499" t="str">
        <f>$I$63&amp;"."&amp;$M$63</f>
        <v>.</v>
      </c>
      <c r="AP63" s="500" t="str">
        <f>$I$63&amp;"."&amp;$M$63&amp;"."&amp;$Q$63</f>
        <v>..</v>
      </c>
      <c r="AQ63" s="500" t="str">
        <f>$I$63&amp;"."&amp;$M$63&amp;"."&amp;$Q$63&amp;"."&amp;$U$63</f>
        <v>...</v>
      </c>
      <c r="AR63" s="35">
        <v>0</v>
      </c>
    </row>
    <row r="64" s="35" customFormat="1" ht="17.25" hidden="1" customHeight="1" spans="1:44">
      <c r="A64" s="450"/>
      <c r="D64" s="1262"/>
      <c r="E64" s="452"/>
      <c r="F64" s="455"/>
      <c r="G64" s="452"/>
      <c r="H64" s="503"/>
      <c r="I64" s="517"/>
      <c r="J64" s="518"/>
      <c r="K64" s="519"/>
      <c r="L64" s="519"/>
      <c r="M64" s="519"/>
      <c r="N64" s="520"/>
      <c r="O64" s="519"/>
      <c r="P64" s="519"/>
      <c r="Q64" s="519"/>
      <c r="R64" s="521"/>
      <c r="S64" s="519"/>
      <c r="T64" s="522"/>
      <c r="U64" s="522"/>
      <c r="V64" s="522"/>
      <c r="W64" s="537"/>
      <c r="X64" s="500"/>
      <c r="Y64" s="500"/>
      <c r="Z64" s="500"/>
      <c r="AA64" s="500"/>
      <c r="AB64" s="500"/>
      <c r="AC64" s="500"/>
      <c r="AD64" s="500"/>
      <c r="AE64" s="500"/>
      <c r="AF64" s="500"/>
      <c r="AG64" s="500"/>
      <c r="AH64" s="500"/>
      <c r="AI64" s="500"/>
      <c r="AJ64" s="500"/>
      <c r="AK64" s="500"/>
      <c r="AL64" s="500"/>
      <c r="AM64" s="500"/>
      <c r="AN64" s="500"/>
      <c r="AO64" s="500"/>
      <c r="AP64" s="500"/>
      <c r="AQ64" s="500"/>
      <c r="AR64" s="35">
        <v>0</v>
      </c>
    </row>
    <row r="65" s="35" customFormat="1" ht="17.25" hidden="1" customHeight="1" spans="1:44">
      <c r="A65" s="450"/>
      <c r="D65" s="21"/>
      <c r="E65" s="456"/>
      <c r="F65" s="455"/>
      <c r="G65" s="456"/>
      <c r="H65" s="503"/>
      <c r="I65" s="517"/>
      <c r="J65" s="449"/>
      <c r="K65" s="519"/>
      <c r="L65" s="519"/>
      <c r="M65" s="519"/>
      <c r="N65" s="521"/>
      <c r="O65" s="519"/>
      <c r="P65" s="519"/>
      <c r="Q65" s="522"/>
      <c r="R65" s="522"/>
      <c r="W65" s="537"/>
      <c r="X65" s="500"/>
      <c r="Y65" s="500"/>
      <c r="Z65" s="500"/>
      <c r="AA65" s="500"/>
      <c r="AB65" s="500"/>
      <c r="AC65" s="500"/>
      <c r="AD65" s="500"/>
      <c r="AE65" s="500"/>
      <c r="AF65" s="500"/>
      <c r="AG65" s="500"/>
      <c r="AH65" s="500"/>
      <c r="AI65" s="500"/>
      <c r="AJ65" s="500"/>
      <c r="AK65" s="500"/>
      <c r="AL65" s="500"/>
      <c r="AM65" s="500"/>
      <c r="AN65" s="500"/>
      <c r="AO65" s="500"/>
      <c r="AP65" s="500"/>
      <c r="AQ65" s="500"/>
      <c r="AR65" s="35">
        <v>0</v>
      </c>
    </row>
    <row r="66" s="35" customFormat="1" ht="17.25" hidden="1" customHeight="1" spans="1:44">
      <c r="A66" s="450"/>
      <c r="C66" s="216"/>
      <c r="D66" s="21"/>
      <c r="E66" s="456"/>
      <c r="F66" s="455"/>
      <c r="G66" s="456"/>
      <c r="H66" s="503"/>
      <c r="I66" s="517"/>
      <c r="J66" s="449"/>
      <c r="K66" s="519"/>
      <c r="L66" s="522"/>
      <c r="M66" s="522"/>
      <c r="N66" s="522"/>
      <c r="O66" s="522"/>
      <c r="P66" s="522"/>
      <c r="Q66" s="522"/>
      <c r="R66" s="522"/>
      <c r="W66" s="537"/>
      <c r="Y66" s="499"/>
      <c r="Z66" s="499"/>
      <c r="AA66" s="499"/>
      <c r="AB66" s="499"/>
      <c r="AC66" s="499"/>
      <c r="AD66" s="499"/>
      <c r="AE66" s="499"/>
      <c r="AF66" s="499"/>
      <c r="AG66" s="499"/>
      <c r="AH66" s="499"/>
      <c r="AI66" s="499"/>
      <c r="AJ66" s="499"/>
      <c r="AK66" s="499"/>
      <c r="AL66" s="499"/>
      <c r="AM66" s="499"/>
      <c r="AN66" s="499"/>
      <c r="AO66" s="499"/>
      <c r="AP66" s="499"/>
      <c r="AQ66" s="499"/>
      <c r="AR66" s="35">
        <v>0</v>
      </c>
    </row>
    <row r="67" s="35" customFormat="1" ht="17.25" hidden="1" customHeight="1" spans="1:44">
      <c r="A67" s="450"/>
      <c r="D67" s="21"/>
      <c r="E67" s="456"/>
      <c r="F67" s="458"/>
      <c r="G67" s="456"/>
      <c r="H67" s="504"/>
      <c r="I67" s="523"/>
      <c r="J67" s="523"/>
      <c r="K67" s="523"/>
      <c r="L67" s="523"/>
      <c r="M67" s="523"/>
      <c r="N67" s="523"/>
      <c r="O67" s="523"/>
      <c r="P67" s="523"/>
      <c r="Q67" s="523"/>
      <c r="R67" s="523"/>
      <c r="S67" s="538"/>
      <c r="T67" s="538"/>
      <c r="U67" s="538"/>
      <c r="V67" s="538"/>
      <c r="W67" s="539"/>
      <c r="X67" s="500"/>
      <c r="Y67" s="500"/>
      <c r="Z67" s="500"/>
      <c r="AA67" s="500"/>
      <c r="AB67" s="500"/>
      <c r="AC67" s="500"/>
      <c r="AD67" s="500"/>
      <c r="AE67" s="500"/>
      <c r="AF67" s="500"/>
      <c r="AG67" s="500"/>
      <c r="AH67" s="500"/>
      <c r="AI67" s="500"/>
      <c r="AJ67" s="500"/>
      <c r="AK67" s="500"/>
      <c r="AL67" s="500"/>
      <c r="AM67" s="500"/>
      <c r="AN67" s="500"/>
      <c r="AO67" s="500"/>
      <c r="AP67" s="500"/>
      <c r="AQ67" s="500"/>
      <c r="AR67" s="35">
        <v>0</v>
      </c>
    </row>
    <row r="68" hidden="1" customHeight="1" spans="44:44">
      <c r="AR68" s="35">
        <v>0</v>
      </c>
    </row>
    <row r="69" hidden="1" customHeight="1" spans="5:44">
      <c r="E69" s="1168" t="s">
        <v>216</v>
      </c>
      <c r="F69" s="1168"/>
      <c r="G69" s="1168"/>
      <c r="H69" s="1168"/>
      <c r="I69" s="1168"/>
      <c r="J69" s="1168"/>
      <c r="K69" s="1168"/>
      <c r="L69" s="1168"/>
      <c r="M69" s="1168"/>
      <c r="N69" s="1168"/>
      <c r="O69" s="1168"/>
      <c r="P69" s="1168"/>
      <c r="Q69" s="1168"/>
      <c r="R69" s="1168"/>
      <c r="S69" s="1168"/>
      <c r="T69" s="1168"/>
      <c r="U69" s="1168"/>
      <c r="V69" s="1168"/>
      <c r="W69" s="1168"/>
      <c r="AR69" s="35">
        <v>0</v>
      </c>
    </row>
    <row r="70" ht="36.75" hidden="1" customHeight="1" spans="5:44">
      <c r="E70" s="1405" t="s">
        <v>217</v>
      </c>
      <c r="F70" s="1273"/>
      <c r="G70" s="1273"/>
      <c r="H70" s="1273"/>
      <c r="I70" s="1273"/>
      <c r="J70" s="1273"/>
      <c r="K70" s="1273"/>
      <c r="L70" s="1273"/>
      <c r="M70" s="1273"/>
      <c r="N70" s="1273"/>
      <c r="O70" s="1273"/>
      <c r="P70" s="1273"/>
      <c r="Q70" s="1273"/>
      <c r="R70" s="1273"/>
      <c r="S70" s="1273"/>
      <c r="T70" s="1273"/>
      <c r="U70" s="1273"/>
      <c r="V70" s="1273"/>
      <c r="W70" s="1273"/>
      <c r="AR70" s="35">
        <v>0</v>
      </c>
    </row>
    <row r="71" ht="28.5" hidden="1" customHeight="1" spans="5:44">
      <c r="E71" s="1405" t="s">
        <v>218</v>
      </c>
      <c r="F71" s="1273"/>
      <c r="G71" s="1273"/>
      <c r="H71" s="1273"/>
      <c r="I71" s="1273"/>
      <c r="J71" s="1273"/>
      <c r="K71" s="1273"/>
      <c r="L71" s="1273"/>
      <c r="M71" s="1273"/>
      <c r="N71" s="1273"/>
      <c r="O71" s="1273"/>
      <c r="P71" s="1273"/>
      <c r="Q71" s="1273"/>
      <c r="R71" s="1273"/>
      <c r="S71" s="1273"/>
      <c r="T71" s="1273"/>
      <c r="U71" s="1273"/>
      <c r="V71" s="1273"/>
      <c r="W71" s="1273"/>
      <c r="AR71" s="35">
        <v>0</v>
      </c>
    </row>
    <row r="72" ht="27" hidden="1" customHeight="1" spans="5:44">
      <c r="E72" s="1405" t="s">
        <v>219</v>
      </c>
      <c r="F72" s="1273"/>
      <c r="G72" s="1273"/>
      <c r="H72" s="1273"/>
      <c r="I72" s="1273"/>
      <c r="J72" s="1273"/>
      <c r="K72" s="1273"/>
      <c r="L72" s="1273"/>
      <c r="M72" s="1273"/>
      <c r="N72" s="1273"/>
      <c r="O72" s="1273"/>
      <c r="P72" s="1273"/>
      <c r="Q72" s="1273"/>
      <c r="R72" s="1273"/>
      <c r="S72" s="1273"/>
      <c r="T72" s="1273"/>
      <c r="U72" s="1273"/>
      <c r="V72" s="1273"/>
      <c r="W72" s="1273"/>
      <c r="AR72" s="35">
        <v>0</v>
      </c>
    </row>
    <row r="73" ht="17.25" hidden="1" customHeight="1" spans="5:44">
      <c r="E73" s="1405" t="s">
        <v>220</v>
      </c>
      <c r="F73" s="1273"/>
      <c r="G73" s="1273"/>
      <c r="H73" s="1273"/>
      <c r="I73" s="1273"/>
      <c r="J73" s="1273"/>
      <c r="K73" s="1273"/>
      <c r="L73" s="1273"/>
      <c r="M73" s="1273"/>
      <c r="N73" s="1273"/>
      <c r="O73" s="1273"/>
      <c r="P73" s="1273"/>
      <c r="Q73" s="1273"/>
      <c r="R73" s="1273"/>
      <c r="S73" s="1273"/>
      <c r="T73" s="1273"/>
      <c r="U73" s="1273"/>
      <c r="V73" s="1273"/>
      <c r="W73" s="1273"/>
      <c r="AR73" s="35">
        <v>0</v>
      </c>
    </row>
    <row r="74" ht="15" hidden="1" customHeight="1" spans="5:44">
      <c r="E74" s="1168"/>
      <c r="F74" s="1168"/>
      <c r="G74" s="1274"/>
      <c r="H74" s="1274"/>
      <c r="I74" s="1274"/>
      <c r="J74" s="1274"/>
      <c r="K74" s="1274"/>
      <c r="L74" s="1274"/>
      <c r="M74" s="1274"/>
      <c r="N74" s="1274"/>
      <c r="O74" s="1274"/>
      <c r="P74" s="1274"/>
      <c r="Q74" s="1274"/>
      <c r="R74" s="1274"/>
      <c r="S74" s="1274"/>
      <c r="T74" s="1274"/>
      <c r="U74" s="1274"/>
      <c r="V74" s="1274"/>
      <c r="W74" s="1274"/>
      <c r="AR74" s="35">
        <v>0</v>
      </c>
    </row>
    <row r="75" ht="15" hidden="1" customHeight="1" spans="5:44">
      <c r="E75" s="1168" t="s">
        <v>221</v>
      </c>
      <c r="F75" s="1168"/>
      <c r="G75" s="1168"/>
      <c r="H75" s="1168"/>
      <c r="I75" s="1168"/>
      <c r="J75" s="1168"/>
      <c r="K75" s="1168"/>
      <c r="L75" s="1168"/>
      <c r="M75" s="1168"/>
      <c r="N75" s="1168"/>
      <c r="O75" s="1168"/>
      <c r="P75" s="1168"/>
      <c r="Q75" s="1168"/>
      <c r="R75" s="1168"/>
      <c r="S75" s="1168"/>
      <c r="T75" s="1168"/>
      <c r="U75" s="1168"/>
      <c r="V75" s="1168"/>
      <c r="W75" s="1168"/>
      <c r="AR75" s="35">
        <v>0</v>
      </c>
    </row>
    <row r="76" ht="17.25" hidden="1" customHeight="1" spans="5:44">
      <c r="E76" s="1405" t="s">
        <v>222</v>
      </c>
      <c r="F76" s="1273"/>
      <c r="G76" s="1273"/>
      <c r="H76" s="1273"/>
      <c r="I76" s="1273"/>
      <c r="J76" s="1273"/>
      <c r="K76" s="1273"/>
      <c r="L76" s="1273"/>
      <c r="M76" s="1273"/>
      <c r="N76" s="1273"/>
      <c r="O76" s="1273"/>
      <c r="P76" s="1273"/>
      <c r="Q76" s="1273"/>
      <c r="R76" s="1273"/>
      <c r="S76" s="1273"/>
      <c r="T76" s="1273"/>
      <c r="U76" s="1273"/>
      <c r="V76" s="1273"/>
      <c r="W76" s="1273"/>
      <c r="AR76" s="35">
        <v>0</v>
      </c>
    </row>
    <row r="77" ht="17.25" hidden="1" customHeight="1" spans="5:44">
      <c r="E77" s="1405" t="s">
        <v>223</v>
      </c>
      <c r="F77" s="1273"/>
      <c r="G77" s="1273"/>
      <c r="H77" s="1273"/>
      <c r="I77" s="1273"/>
      <c r="J77" s="1273"/>
      <c r="K77" s="1273"/>
      <c r="L77" s="1273"/>
      <c r="M77" s="1273"/>
      <c r="N77" s="1273"/>
      <c r="O77" s="1273"/>
      <c r="P77" s="1273"/>
      <c r="Q77" s="1273"/>
      <c r="R77" s="1273"/>
      <c r="S77" s="1273"/>
      <c r="T77" s="1273"/>
      <c r="U77" s="1273"/>
      <c r="V77" s="1273"/>
      <c r="W77" s="1273"/>
      <c r="AR77" s="35">
        <v>0</v>
      </c>
    </row>
    <row r="78" s="35" customFormat="1" hidden="1" customHeight="1" spans="1:44">
      <c r="A78" s="150"/>
      <c r="B78" s="150"/>
      <c r="Y78" s="500"/>
      <c r="Z78" s="500"/>
      <c r="AA78" s="500"/>
      <c r="AB78" s="500"/>
      <c r="AC78" s="500"/>
      <c r="AD78" s="500"/>
      <c r="AE78" s="500"/>
      <c r="AF78" s="500"/>
      <c r="AG78" s="500"/>
      <c r="AH78" s="500"/>
      <c r="AI78" s="500"/>
      <c r="AJ78" s="500"/>
      <c r="AK78" s="500"/>
      <c r="AL78" s="500"/>
      <c r="AM78" s="500"/>
      <c r="AN78" s="500"/>
      <c r="AO78" s="500"/>
      <c r="AP78" s="500"/>
      <c r="AQ78" s="500"/>
      <c r="AR78" s="35">
        <v>0</v>
      </c>
    </row>
    <row r="79" s="35" customFormat="1" ht="17.25" customHeight="1" spans="1:44">
      <c r="A79" s="450"/>
      <c r="C79" s="216"/>
      <c r="D79" s="1262">
        <v>1</v>
      </c>
      <c r="E79" s="452" t="s">
        <v>224</v>
      </c>
      <c r="F79" s="453" t="s">
        <v>19</v>
      </c>
      <c r="G79" s="452"/>
      <c r="H79" s="502"/>
      <c r="I79" s="513"/>
      <c r="J79" s="514"/>
      <c r="K79" s="515"/>
      <c r="L79" s="515"/>
      <c r="M79" s="515"/>
      <c r="N79" s="516"/>
      <c r="O79" s="515"/>
      <c r="P79" s="515"/>
      <c r="Q79" s="515"/>
      <c r="R79" s="535"/>
      <c r="S79" s="515"/>
      <c r="T79" s="515"/>
      <c r="U79" s="515"/>
      <c r="V79" s="535"/>
      <c r="W79" s="536"/>
      <c r="Y79" s="499"/>
      <c r="Z79" s="499"/>
      <c r="AA79" s="499"/>
      <c r="AB79" s="499"/>
      <c r="AC79" s="499" t="s">
        <v>225</v>
      </c>
      <c r="AD79" s="499" t="s">
        <v>226</v>
      </c>
      <c r="AE79" s="499" t="s">
        <v>227</v>
      </c>
      <c r="AF79" s="499" t="s">
        <v>228</v>
      </c>
      <c r="AG79" s="499"/>
      <c r="AH79" s="499" t="str">
        <f>IF($E$79=0,"",$E$79)</f>
        <v>Тариф на питьевую воду (питьевое водоснабжение)</v>
      </c>
      <c r="AI79" s="499" t="str">
        <f>IF($G$79=0,"",$G$79)</f>
        <v/>
      </c>
      <c r="AJ79" s="499" t="str">
        <f>IF($J$79=0,"",$J$79)</f>
        <v/>
      </c>
      <c r="AK79" s="499" t="str">
        <f>IF($K$79="нет","без дифференциации",IF($N$79=0,"",$N$79))</f>
        <v/>
      </c>
      <c r="AL79" s="499" t="str">
        <f>IF($O$79="нет","без дифференциации",IF($R$79=0,"",$R$79))</f>
        <v/>
      </c>
      <c r="AM79" s="499" t="str">
        <f>IF($S$79="нет","без дифференциации",IF($V$79=0,"",$V$79))</f>
        <v/>
      </c>
      <c r="AN79" s="499">
        <f>$I$79</f>
        <v>0</v>
      </c>
      <c r="AO79" s="499" t="str">
        <f>$I$79&amp;"."&amp;$M$79</f>
        <v>.</v>
      </c>
      <c r="AP79" s="499" t="str">
        <f>$I$79&amp;"."&amp;$M$79&amp;"."&amp;$Q$79</f>
        <v>..</v>
      </c>
      <c r="AQ79" s="499" t="str">
        <f>$I$79&amp;"."&amp;$M$79&amp;"."&amp;$Q$79&amp;"."&amp;$U$79</f>
        <v>...</v>
      </c>
      <c r="AR79" s="35">
        <v>0</v>
      </c>
    </row>
    <row r="80" s="35" customFormat="1" ht="17.25" customHeight="1" spans="1:44">
      <c r="A80" s="450"/>
      <c r="D80" s="1262"/>
      <c r="E80" s="452"/>
      <c r="F80" s="455"/>
      <c r="G80" s="452"/>
      <c r="H80" s="503"/>
      <c r="I80" s="517"/>
      <c r="J80" s="518"/>
      <c r="K80" s="519"/>
      <c r="L80" s="519"/>
      <c r="M80" s="519"/>
      <c r="N80" s="520"/>
      <c r="O80" s="519"/>
      <c r="P80" s="519"/>
      <c r="Q80" s="519"/>
      <c r="R80" s="521"/>
      <c r="S80" s="519"/>
      <c r="T80" s="522"/>
      <c r="U80" s="522"/>
      <c r="V80" s="522"/>
      <c r="W80" s="537"/>
      <c r="Y80" s="500"/>
      <c r="Z80" s="500"/>
      <c r="AA80" s="500"/>
      <c r="AB80" s="500"/>
      <c r="AC80" s="500"/>
      <c r="AD80" s="500"/>
      <c r="AE80" s="500"/>
      <c r="AF80" s="500"/>
      <c r="AG80" s="500"/>
      <c r="AH80" s="500"/>
      <c r="AI80" s="500"/>
      <c r="AJ80" s="500"/>
      <c r="AK80" s="500"/>
      <c r="AL80" s="500"/>
      <c r="AM80" s="500"/>
      <c r="AN80" s="500"/>
      <c r="AO80" s="500"/>
      <c r="AP80" s="500"/>
      <c r="AQ80" s="500"/>
      <c r="AR80" s="35">
        <v>0</v>
      </c>
    </row>
    <row r="81" s="35" customFormat="1" ht="17.25" customHeight="1" spans="1:44">
      <c r="A81" s="450"/>
      <c r="C81" s="216"/>
      <c r="D81" s="1262"/>
      <c r="E81" s="452"/>
      <c r="F81" s="455"/>
      <c r="G81" s="452"/>
      <c r="H81" s="503"/>
      <c r="I81" s="517"/>
      <c r="J81" s="449"/>
      <c r="K81" s="519"/>
      <c r="L81" s="519"/>
      <c r="M81" s="519"/>
      <c r="N81" s="521"/>
      <c r="O81" s="519"/>
      <c r="P81" s="519"/>
      <c r="Q81" s="522"/>
      <c r="R81" s="522"/>
      <c r="W81" s="537"/>
      <c r="Y81" s="499"/>
      <c r="Z81" s="499"/>
      <c r="AA81" s="499"/>
      <c r="AB81" s="499"/>
      <c r="AC81" s="499"/>
      <c r="AD81" s="499"/>
      <c r="AE81" s="499"/>
      <c r="AF81" s="499"/>
      <c r="AG81" s="499"/>
      <c r="AH81" s="499"/>
      <c r="AI81" s="499"/>
      <c r="AJ81" s="499"/>
      <c r="AK81" s="499"/>
      <c r="AL81" s="499"/>
      <c r="AM81" s="499"/>
      <c r="AN81" s="499"/>
      <c r="AO81" s="499"/>
      <c r="AP81" s="499"/>
      <c r="AQ81" s="499"/>
      <c r="AR81" s="35">
        <v>0</v>
      </c>
    </row>
    <row r="82" s="35" customFormat="1" ht="17.25" customHeight="1" spans="1:44">
      <c r="A82" s="450"/>
      <c r="D82" s="1262"/>
      <c r="E82" s="452"/>
      <c r="F82" s="455"/>
      <c r="G82" s="452"/>
      <c r="H82" s="503"/>
      <c r="I82" s="517"/>
      <c r="J82" s="449"/>
      <c r="K82" s="519"/>
      <c r="L82" s="522"/>
      <c r="M82" s="522"/>
      <c r="N82" s="522"/>
      <c r="O82" s="522"/>
      <c r="P82" s="522"/>
      <c r="Q82" s="522"/>
      <c r="R82" s="522"/>
      <c r="W82" s="537"/>
      <c r="Y82" s="500"/>
      <c r="Z82" s="500"/>
      <c r="AA82" s="500"/>
      <c r="AB82" s="500"/>
      <c r="AC82" s="500"/>
      <c r="AD82" s="500"/>
      <c r="AE82" s="500"/>
      <c r="AF82" s="500"/>
      <c r="AG82" s="500"/>
      <c r="AH82" s="500"/>
      <c r="AI82" s="500"/>
      <c r="AJ82" s="500"/>
      <c r="AK82" s="500"/>
      <c r="AL82" s="500"/>
      <c r="AM82" s="500"/>
      <c r="AN82" s="500"/>
      <c r="AO82" s="500"/>
      <c r="AP82" s="500"/>
      <c r="AQ82" s="500"/>
      <c r="AR82" s="35">
        <v>0</v>
      </c>
    </row>
    <row r="83" s="35" customFormat="1" ht="17.25" customHeight="1" spans="1:44">
      <c r="A83" s="450"/>
      <c r="D83" s="21"/>
      <c r="E83" s="456"/>
      <c r="F83" s="458"/>
      <c r="G83" s="456"/>
      <c r="H83" s="504"/>
      <c r="I83" s="523"/>
      <c r="J83" s="523"/>
      <c r="K83" s="523"/>
      <c r="L83" s="523"/>
      <c r="M83" s="523"/>
      <c r="N83" s="523"/>
      <c r="O83" s="523"/>
      <c r="P83" s="523"/>
      <c r="Q83" s="523"/>
      <c r="R83" s="523"/>
      <c r="S83" s="538"/>
      <c r="T83" s="538"/>
      <c r="U83" s="538"/>
      <c r="V83" s="538"/>
      <c r="W83" s="539"/>
      <c r="Y83" s="500"/>
      <c r="Z83" s="500"/>
      <c r="AA83" s="500"/>
      <c r="AB83" s="500"/>
      <c r="AC83" s="500"/>
      <c r="AD83" s="500"/>
      <c r="AE83" s="500"/>
      <c r="AF83" s="500"/>
      <c r="AG83" s="500"/>
      <c r="AH83" s="500"/>
      <c r="AI83" s="500"/>
      <c r="AJ83" s="500"/>
      <c r="AK83" s="500"/>
      <c r="AL83" s="500"/>
      <c r="AM83" s="500"/>
      <c r="AN83" s="500"/>
      <c r="AO83" s="500"/>
      <c r="AP83" s="500"/>
      <c r="AQ83" s="500"/>
      <c r="AR83" s="35">
        <v>0</v>
      </c>
    </row>
    <row r="84" s="35" customFormat="1" ht="17.25" customHeight="1" spans="1:44">
      <c r="A84" s="450"/>
      <c r="C84" s="216"/>
      <c r="D84" s="1262">
        <v>2</v>
      </c>
      <c r="E84" s="452" t="s">
        <v>229</v>
      </c>
      <c r="F84" s="453" t="s">
        <v>19</v>
      </c>
      <c r="G84" s="452"/>
      <c r="H84" s="502"/>
      <c r="I84" s="513"/>
      <c r="J84" s="514"/>
      <c r="K84" s="515"/>
      <c r="L84" s="515"/>
      <c r="M84" s="515"/>
      <c r="N84" s="516"/>
      <c r="O84" s="515"/>
      <c r="P84" s="515"/>
      <c r="Q84" s="515"/>
      <c r="R84" s="535"/>
      <c r="S84" s="515"/>
      <c r="T84" s="515"/>
      <c r="U84" s="515"/>
      <c r="V84" s="535"/>
      <c r="W84" s="536"/>
      <c r="X84" s="499"/>
      <c r="Y84" s="499"/>
      <c r="Z84" s="499"/>
      <c r="AA84" s="499"/>
      <c r="AB84" s="499"/>
      <c r="AC84" s="499" t="s">
        <v>230</v>
      </c>
      <c r="AD84" s="499" t="s">
        <v>231</v>
      </c>
      <c r="AE84" s="499" t="s">
        <v>232</v>
      </c>
      <c r="AF84" s="499" t="s">
        <v>233</v>
      </c>
      <c r="AG84" s="499"/>
      <c r="AH84" s="499" t="str">
        <f>IF($E$84=0,"",$E$84)</f>
        <v>Тариф на техническую воду</v>
      </c>
      <c r="AI84" s="499" t="str">
        <f>IF($G$84=0,"",$G$84)</f>
        <v/>
      </c>
      <c r="AJ84" s="499" t="str">
        <f>IF($J$84=0,"",$J$84)</f>
        <v/>
      </c>
      <c r="AK84" s="499" t="str">
        <f>IF($K$84="нет","без дифференциации",IF($N$84=0,"",$N$84))</f>
        <v/>
      </c>
      <c r="AL84" s="499" t="str">
        <f>IF($O$84="нет","без дифференциации",IF($R$84=0,"",$R$84))</f>
        <v/>
      </c>
      <c r="AM84" s="499" t="str">
        <f>IF($S$84="нет","без дифференциации",IF($V$84=0,"",$V$84))</f>
        <v/>
      </c>
      <c r="AN84" s="1272">
        <f>$I$84</f>
        <v>0</v>
      </c>
      <c r="AO84" s="499" t="str">
        <f>$I$84&amp;"."&amp;$M$84</f>
        <v>.</v>
      </c>
      <c r="AP84" s="500" t="str">
        <f>$I$84&amp;"."&amp;$M$84&amp;"."&amp;$Q$84</f>
        <v>..</v>
      </c>
      <c r="AQ84" s="500" t="str">
        <f>$I$84&amp;"."&amp;$M$84&amp;"."&amp;$Q$84&amp;"."&amp;$U$84</f>
        <v>...</v>
      </c>
      <c r="AR84" s="35">
        <v>0</v>
      </c>
    </row>
    <row r="85" s="35" customFormat="1" ht="17.25" customHeight="1" spans="1:44">
      <c r="A85" s="450"/>
      <c r="D85" s="1262"/>
      <c r="E85" s="452"/>
      <c r="F85" s="455"/>
      <c r="G85" s="452"/>
      <c r="H85" s="503"/>
      <c r="I85" s="517"/>
      <c r="J85" s="518"/>
      <c r="K85" s="519"/>
      <c r="L85" s="519"/>
      <c r="M85" s="519"/>
      <c r="N85" s="520"/>
      <c r="O85" s="519"/>
      <c r="P85" s="519"/>
      <c r="Q85" s="519"/>
      <c r="R85" s="521"/>
      <c r="S85" s="519"/>
      <c r="T85" s="522"/>
      <c r="U85" s="522"/>
      <c r="V85" s="522"/>
      <c r="W85" s="537"/>
      <c r="X85" s="500"/>
      <c r="Y85" s="500"/>
      <c r="Z85" s="500"/>
      <c r="AA85" s="500"/>
      <c r="AB85" s="500"/>
      <c r="AC85" s="500"/>
      <c r="AD85" s="500"/>
      <c r="AE85" s="500"/>
      <c r="AF85" s="500"/>
      <c r="AG85" s="500"/>
      <c r="AH85" s="500"/>
      <c r="AI85" s="500"/>
      <c r="AJ85" s="500"/>
      <c r="AK85" s="500"/>
      <c r="AL85" s="500"/>
      <c r="AM85" s="500"/>
      <c r="AN85" s="500"/>
      <c r="AO85" s="500"/>
      <c r="AP85" s="500"/>
      <c r="AQ85" s="500"/>
      <c r="AR85" s="35">
        <v>0</v>
      </c>
    </row>
    <row r="86" s="35" customFormat="1" ht="17.25" customHeight="1" spans="1:44">
      <c r="A86" s="450"/>
      <c r="D86" s="21"/>
      <c r="E86" s="456"/>
      <c r="F86" s="455"/>
      <c r="G86" s="456"/>
      <c r="H86" s="503"/>
      <c r="I86" s="517"/>
      <c r="J86" s="449"/>
      <c r="K86" s="519"/>
      <c r="L86" s="519"/>
      <c r="M86" s="519"/>
      <c r="N86" s="521"/>
      <c r="O86" s="519"/>
      <c r="P86" s="519"/>
      <c r="Q86" s="522"/>
      <c r="R86" s="522"/>
      <c r="W86" s="537"/>
      <c r="X86" s="500"/>
      <c r="Y86" s="500"/>
      <c r="Z86" s="500"/>
      <c r="AA86" s="500"/>
      <c r="AB86" s="500"/>
      <c r="AC86" s="500"/>
      <c r="AD86" s="500"/>
      <c r="AE86" s="500"/>
      <c r="AF86" s="500"/>
      <c r="AG86" s="500"/>
      <c r="AH86" s="500"/>
      <c r="AI86" s="500"/>
      <c r="AJ86" s="500"/>
      <c r="AK86" s="500"/>
      <c r="AL86" s="500"/>
      <c r="AM86" s="500"/>
      <c r="AN86" s="500"/>
      <c r="AO86" s="500"/>
      <c r="AP86" s="500"/>
      <c r="AQ86" s="500"/>
      <c r="AR86" s="35">
        <v>0</v>
      </c>
    </row>
    <row r="87" s="35" customFormat="1" ht="17.25" customHeight="1" spans="1:44">
      <c r="A87" s="450"/>
      <c r="D87" s="21"/>
      <c r="E87" s="456"/>
      <c r="F87" s="455"/>
      <c r="G87" s="456"/>
      <c r="H87" s="503"/>
      <c r="I87" s="517"/>
      <c r="J87" s="449"/>
      <c r="K87" s="519"/>
      <c r="L87" s="522"/>
      <c r="M87" s="522"/>
      <c r="N87" s="522"/>
      <c r="O87" s="522"/>
      <c r="P87" s="522"/>
      <c r="Q87" s="522"/>
      <c r="R87" s="522"/>
      <c r="W87" s="537"/>
      <c r="X87" s="500"/>
      <c r="Y87" s="500"/>
      <c r="Z87" s="500"/>
      <c r="AA87" s="500"/>
      <c r="AB87" s="500"/>
      <c r="AC87" s="500"/>
      <c r="AD87" s="500"/>
      <c r="AE87" s="500"/>
      <c r="AF87" s="500"/>
      <c r="AG87" s="500"/>
      <c r="AH87" s="500"/>
      <c r="AI87" s="500"/>
      <c r="AJ87" s="500"/>
      <c r="AK87" s="500"/>
      <c r="AL87" s="500"/>
      <c r="AM87" s="500"/>
      <c r="AN87" s="500"/>
      <c r="AO87" s="500"/>
      <c r="AP87" s="500"/>
      <c r="AQ87" s="500"/>
      <c r="AR87" s="35">
        <v>0</v>
      </c>
    </row>
    <row r="88" s="35" customFormat="1" ht="17.25" customHeight="1" spans="1:44">
      <c r="A88" s="450"/>
      <c r="D88" s="21"/>
      <c r="E88" s="456"/>
      <c r="F88" s="458"/>
      <c r="G88" s="456"/>
      <c r="H88" s="504"/>
      <c r="I88" s="523"/>
      <c r="J88" s="523"/>
      <c r="K88" s="523"/>
      <c r="L88" s="523"/>
      <c r="M88" s="523"/>
      <c r="N88" s="523"/>
      <c r="O88" s="523"/>
      <c r="P88" s="523"/>
      <c r="Q88" s="523"/>
      <c r="R88" s="523"/>
      <c r="S88" s="538"/>
      <c r="T88" s="538"/>
      <c r="U88" s="538"/>
      <c r="V88" s="538"/>
      <c r="W88" s="539"/>
      <c r="X88" s="500"/>
      <c r="Y88" s="500"/>
      <c r="Z88" s="500"/>
      <c r="AA88" s="500"/>
      <c r="AB88" s="500"/>
      <c r="AC88" s="500"/>
      <c r="AD88" s="500"/>
      <c r="AE88" s="500"/>
      <c r="AF88" s="500"/>
      <c r="AG88" s="500"/>
      <c r="AH88" s="500"/>
      <c r="AI88" s="500"/>
      <c r="AJ88" s="500"/>
      <c r="AK88" s="500"/>
      <c r="AL88" s="500"/>
      <c r="AM88" s="500"/>
      <c r="AN88" s="500"/>
      <c r="AO88" s="500"/>
      <c r="AP88" s="500"/>
      <c r="AQ88" s="500"/>
      <c r="AR88" s="35">
        <v>0</v>
      </c>
    </row>
    <row r="89" s="35" customFormat="1" ht="17.25" customHeight="1" spans="1:44">
      <c r="A89" s="450"/>
      <c r="C89" s="216"/>
      <c r="D89" s="1262">
        <v>3</v>
      </c>
      <c r="E89" s="452" t="s">
        <v>234</v>
      </c>
      <c r="F89" s="453" t="s">
        <v>19</v>
      </c>
      <c r="G89" s="452"/>
      <c r="H89" s="502"/>
      <c r="I89" s="513"/>
      <c r="J89" s="514"/>
      <c r="K89" s="515"/>
      <c r="L89" s="515"/>
      <c r="M89" s="515"/>
      <c r="N89" s="516"/>
      <c r="O89" s="515"/>
      <c r="P89" s="515"/>
      <c r="Q89" s="515"/>
      <c r="R89" s="535"/>
      <c r="S89" s="515"/>
      <c r="T89" s="515"/>
      <c r="U89" s="515"/>
      <c r="V89" s="535"/>
      <c r="W89" s="536"/>
      <c r="X89" s="499"/>
      <c r="Y89" s="499"/>
      <c r="Z89" s="499"/>
      <c r="AA89" s="499"/>
      <c r="AB89" s="499"/>
      <c r="AC89" s="499" t="s">
        <v>235</v>
      </c>
      <c r="AD89" s="499" t="s">
        <v>236</v>
      </c>
      <c r="AE89" s="499" t="s">
        <v>237</v>
      </c>
      <c r="AF89" s="499" t="s">
        <v>238</v>
      </c>
      <c r="AG89" s="499"/>
      <c r="AH89" s="499" t="str">
        <f>IF($E$89=0,"",$E$89)</f>
        <v>Тариф на транспортировку воды</v>
      </c>
      <c r="AI89" s="499" t="str">
        <f>IF($G$89=0,"",$G$89)</f>
        <v/>
      </c>
      <c r="AJ89" s="499" t="str">
        <f>IF($J$89=0,"",$J$89)</f>
        <v/>
      </c>
      <c r="AK89" s="499" t="str">
        <f>IF($K$89="нет","без дифференциации",IF($N$89=0,"",$N$89))</f>
        <v/>
      </c>
      <c r="AL89" s="499" t="str">
        <f>IF($O$89="нет","без дифференциации",IF($R$89=0,"",$R$89))</f>
        <v/>
      </c>
      <c r="AM89" s="499" t="str">
        <f>IF($S$89="нет","без дифференциации",IF($V$89=0,"",$V$89))</f>
        <v/>
      </c>
      <c r="AN89" s="1272">
        <f>$I$89</f>
        <v>0</v>
      </c>
      <c r="AO89" s="499" t="str">
        <f>$I$89&amp;"."&amp;$M$89</f>
        <v>.</v>
      </c>
      <c r="AP89" s="500" t="str">
        <f>$I$89&amp;"."&amp;$M$89&amp;"."&amp;$Q$89</f>
        <v>..</v>
      </c>
      <c r="AQ89" s="500" t="str">
        <f>$I$89&amp;"."&amp;$M$89&amp;"."&amp;$Q$89&amp;"."&amp;$U$89</f>
        <v>...</v>
      </c>
      <c r="AR89" s="35">
        <v>0</v>
      </c>
    </row>
    <row r="90" s="35" customFormat="1" ht="17.25" customHeight="1" spans="1:44">
      <c r="A90" s="450"/>
      <c r="D90" s="1262"/>
      <c r="E90" s="452"/>
      <c r="F90" s="455"/>
      <c r="G90" s="452"/>
      <c r="H90" s="503"/>
      <c r="I90" s="517"/>
      <c r="J90" s="518"/>
      <c r="K90" s="519"/>
      <c r="L90" s="519"/>
      <c r="M90" s="519"/>
      <c r="N90" s="520"/>
      <c r="O90" s="519"/>
      <c r="P90" s="519"/>
      <c r="Q90" s="519"/>
      <c r="R90" s="521"/>
      <c r="S90" s="519"/>
      <c r="T90" s="522"/>
      <c r="U90" s="522"/>
      <c r="V90" s="522"/>
      <c r="W90" s="537"/>
      <c r="X90" s="500"/>
      <c r="Y90" s="500"/>
      <c r="Z90" s="500"/>
      <c r="AA90" s="500"/>
      <c r="AB90" s="500"/>
      <c r="AC90" s="500"/>
      <c r="AD90" s="500"/>
      <c r="AE90" s="500"/>
      <c r="AF90" s="500"/>
      <c r="AG90" s="500"/>
      <c r="AH90" s="500"/>
      <c r="AI90" s="500"/>
      <c r="AJ90" s="500"/>
      <c r="AK90" s="500"/>
      <c r="AL90" s="500"/>
      <c r="AM90" s="500"/>
      <c r="AN90" s="500"/>
      <c r="AO90" s="500"/>
      <c r="AP90" s="500"/>
      <c r="AQ90" s="500"/>
      <c r="AR90" s="35">
        <v>0</v>
      </c>
    </row>
    <row r="91" s="35" customFormat="1" ht="17.25" customHeight="1" spans="1:44">
      <c r="A91" s="450"/>
      <c r="D91" s="21"/>
      <c r="E91" s="456"/>
      <c r="F91" s="455"/>
      <c r="G91" s="456"/>
      <c r="H91" s="503"/>
      <c r="I91" s="517"/>
      <c r="J91" s="449"/>
      <c r="K91" s="519"/>
      <c r="L91" s="519"/>
      <c r="M91" s="519"/>
      <c r="N91" s="521"/>
      <c r="O91" s="519"/>
      <c r="P91" s="519"/>
      <c r="Q91" s="522"/>
      <c r="R91" s="522"/>
      <c r="W91" s="537"/>
      <c r="X91" s="500"/>
      <c r="Y91" s="500"/>
      <c r="Z91" s="500"/>
      <c r="AA91" s="500"/>
      <c r="AB91" s="500"/>
      <c r="AC91" s="500"/>
      <c r="AD91" s="500"/>
      <c r="AE91" s="500"/>
      <c r="AF91" s="500"/>
      <c r="AG91" s="500"/>
      <c r="AH91" s="500"/>
      <c r="AI91" s="500"/>
      <c r="AJ91" s="500"/>
      <c r="AK91" s="500"/>
      <c r="AL91" s="500"/>
      <c r="AM91" s="500"/>
      <c r="AN91" s="500"/>
      <c r="AO91" s="500"/>
      <c r="AP91" s="500"/>
      <c r="AQ91" s="500"/>
      <c r="AR91" s="35">
        <v>0</v>
      </c>
    </row>
    <row r="92" s="35" customFormat="1" ht="17.25" customHeight="1" spans="1:44">
      <c r="A92" s="450"/>
      <c r="D92" s="21"/>
      <c r="E92" s="456"/>
      <c r="F92" s="455"/>
      <c r="G92" s="456"/>
      <c r="H92" s="503"/>
      <c r="I92" s="517"/>
      <c r="J92" s="449"/>
      <c r="K92" s="519"/>
      <c r="L92" s="522"/>
      <c r="M92" s="522"/>
      <c r="N92" s="522"/>
      <c r="O92" s="522"/>
      <c r="P92" s="522"/>
      <c r="Q92" s="522"/>
      <c r="R92" s="522"/>
      <c r="W92" s="537"/>
      <c r="X92" s="500"/>
      <c r="Y92" s="500"/>
      <c r="Z92" s="500"/>
      <c r="AA92" s="500"/>
      <c r="AB92" s="500"/>
      <c r="AC92" s="500"/>
      <c r="AD92" s="500"/>
      <c r="AE92" s="500"/>
      <c r="AF92" s="500"/>
      <c r="AG92" s="500"/>
      <c r="AH92" s="500"/>
      <c r="AI92" s="500"/>
      <c r="AJ92" s="500"/>
      <c r="AK92" s="500"/>
      <c r="AL92" s="500"/>
      <c r="AM92" s="500"/>
      <c r="AN92" s="500"/>
      <c r="AO92" s="500"/>
      <c r="AP92" s="500"/>
      <c r="AQ92" s="500"/>
      <c r="AR92" s="35">
        <v>0</v>
      </c>
    </row>
    <row r="93" s="35" customFormat="1" ht="17.25" customHeight="1" spans="1:44">
      <c r="A93" s="450"/>
      <c r="D93" s="21"/>
      <c r="E93" s="456"/>
      <c r="F93" s="458"/>
      <c r="G93" s="456"/>
      <c r="H93" s="504"/>
      <c r="I93" s="523"/>
      <c r="J93" s="523"/>
      <c r="K93" s="523"/>
      <c r="L93" s="523"/>
      <c r="M93" s="523"/>
      <c r="N93" s="523"/>
      <c r="O93" s="523"/>
      <c r="P93" s="523"/>
      <c r="Q93" s="523"/>
      <c r="R93" s="523"/>
      <c r="S93" s="538"/>
      <c r="T93" s="538"/>
      <c r="U93" s="538"/>
      <c r="V93" s="538"/>
      <c r="W93" s="539"/>
      <c r="X93" s="500"/>
      <c r="Y93" s="500"/>
      <c r="Z93" s="500"/>
      <c r="AA93" s="500"/>
      <c r="AB93" s="500"/>
      <c r="AC93" s="500"/>
      <c r="AD93" s="500"/>
      <c r="AE93" s="500"/>
      <c r="AF93" s="500"/>
      <c r="AG93" s="500"/>
      <c r="AH93" s="500"/>
      <c r="AI93" s="500"/>
      <c r="AJ93" s="500"/>
      <c r="AK93" s="500"/>
      <c r="AL93" s="500"/>
      <c r="AM93" s="500"/>
      <c r="AN93" s="500"/>
      <c r="AO93" s="500"/>
      <c r="AP93" s="500"/>
      <c r="AQ93" s="500"/>
      <c r="AR93" s="35">
        <v>0</v>
      </c>
    </row>
    <row r="94" s="35" customFormat="1" ht="17.25" customHeight="1" spans="1:44">
      <c r="A94" s="450"/>
      <c r="C94" s="216"/>
      <c r="D94" s="1262">
        <v>4</v>
      </c>
      <c r="E94" s="452" t="s">
        <v>239</v>
      </c>
      <c r="F94" s="453" t="s">
        <v>19</v>
      </c>
      <c r="G94" s="452"/>
      <c r="H94" s="502"/>
      <c r="I94" s="513"/>
      <c r="J94" s="514"/>
      <c r="K94" s="515"/>
      <c r="L94" s="515"/>
      <c r="M94" s="515"/>
      <c r="N94" s="516"/>
      <c r="O94" s="515"/>
      <c r="P94" s="515"/>
      <c r="Q94" s="515"/>
      <c r="R94" s="535"/>
      <c r="S94" s="515"/>
      <c r="T94" s="515"/>
      <c r="U94" s="515"/>
      <c r="V94" s="535"/>
      <c r="W94" s="536"/>
      <c r="X94" s="499"/>
      <c r="Y94" s="499"/>
      <c r="Z94" s="499"/>
      <c r="AA94" s="499"/>
      <c r="AB94" s="499"/>
      <c r="AC94" s="499" t="s">
        <v>240</v>
      </c>
      <c r="AD94" s="499" t="s">
        <v>241</v>
      </c>
      <c r="AE94" s="499" t="s">
        <v>242</v>
      </c>
      <c r="AF94" s="499" t="s">
        <v>243</v>
      </c>
      <c r="AG94" s="499"/>
      <c r="AH94" s="499" t="str">
        <f>IF($E$94=0,"",$E$94)</f>
        <v>Тариф на подвоз воды</v>
      </c>
      <c r="AI94" s="499" t="str">
        <f>IF($G$94=0,"",$G$94)</f>
        <v/>
      </c>
      <c r="AJ94" s="499" t="str">
        <f>IF($J$94=0,"",$J$94)</f>
        <v/>
      </c>
      <c r="AK94" s="499" t="str">
        <f>IF($K$94="нет","без дифференциации",IF($N$94=0,"",$N$94))</f>
        <v/>
      </c>
      <c r="AL94" s="499" t="str">
        <f>IF($O$94="нет","без дифференциации",IF($R$94=0,"",$R$94))</f>
        <v/>
      </c>
      <c r="AM94" s="499" t="str">
        <f>IF($S$94="нет","без дифференциации",IF($V$94=0,"",$V$94))</f>
        <v/>
      </c>
      <c r="AN94" s="1272">
        <f>$I$94</f>
        <v>0</v>
      </c>
      <c r="AO94" s="499" t="str">
        <f>$I$94&amp;"."&amp;$M$94</f>
        <v>.</v>
      </c>
      <c r="AP94" s="500" t="str">
        <f>$I$94&amp;"."&amp;$M$94&amp;"."&amp;$Q$94</f>
        <v>..</v>
      </c>
      <c r="AQ94" s="500" t="str">
        <f>$I$94&amp;"."&amp;$M$94&amp;"."&amp;$Q$94&amp;"."&amp;$U$94</f>
        <v>...</v>
      </c>
      <c r="AR94" s="35">
        <v>0</v>
      </c>
    </row>
    <row r="95" s="35" customFormat="1" ht="17.25" customHeight="1" spans="1:44">
      <c r="A95" s="450"/>
      <c r="D95" s="1262"/>
      <c r="E95" s="452"/>
      <c r="F95" s="455"/>
      <c r="G95" s="452"/>
      <c r="H95" s="503"/>
      <c r="I95" s="517"/>
      <c r="J95" s="518"/>
      <c r="K95" s="519"/>
      <c r="L95" s="519"/>
      <c r="M95" s="519"/>
      <c r="N95" s="520"/>
      <c r="O95" s="519"/>
      <c r="P95" s="519"/>
      <c r="Q95" s="519"/>
      <c r="R95" s="521"/>
      <c r="S95" s="519"/>
      <c r="T95" s="522"/>
      <c r="U95" s="522"/>
      <c r="V95" s="522"/>
      <c r="W95" s="537"/>
      <c r="X95" s="500"/>
      <c r="Y95" s="500"/>
      <c r="Z95" s="500"/>
      <c r="AA95" s="500"/>
      <c r="AB95" s="500"/>
      <c r="AC95" s="500"/>
      <c r="AD95" s="500"/>
      <c r="AE95" s="500"/>
      <c r="AF95" s="500"/>
      <c r="AG95" s="500"/>
      <c r="AH95" s="500"/>
      <c r="AI95" s="500"/>
      <c r="AJ95" s="500"/>
      <c r="AK95" s="500"/>
      <c r="AL95" s="500"/>
      <c r="AM95" s="500"/>
      <c r="AN95" s="500"/>
      <c r="AO95" s="500"/>
      <c r="AP95" s="500"/>
      <c r="AQ95" s="500"/>
      <c r="AR95" s="35">
        <v>0</v>
      </c>
    </row>
    <row r="96" s="35" customFormat="1" ht="17.25" customHeight="1" spans="1:44">
      <c r="A96" s="450"/>
      <c r="D96" s="21"/>
      <c r="E96" s="456"/>
      <c r="F96" s="455"/>
      <c r="G96" s="456"/>
      <c r="H96" s="503"/>
      <c r="I96" s="517"/>
      <c r="J96" s="449"/>
      <c r="K96" s="519"/>
      <c r="L96" s="519"/>
      <c r="M96" s="519"/>
      <c r="N96" s="521"/>
      <c r="O96" s="519"/>
      <c r="P96" s="519"/>
      <c r="Q96" s="522"/>
      <c r="R96" s="522"/>
      <c r="W96" s="537"/>
      <c r="X96" s="500"/>
      <c r="Y96" s="500"/>
      <c r="Z96" s="500"/>
      <c r="AA96" s="500"/>
      <c r="AB96" s="500"/>
      <c r="AC96" s="500"/>
      <c r="AD96" s="500"/>
      <c r="AE96" s="500"/>
      <c r="AF96" s="500"/>
      <c r="AG96" s="500"/>
      <c r="AH96" s="500"/>
      <c r="AI96" s="500"/>
      <c r="AJ96" s="500"/>
      <c r="AK96" s="500"/>
      <c r="AL96" s="500"/>
      <c r="AM96" s="500"/>
      <c r="AN96" s="500"/>
      <c r="AO96" s="500"/>
      <c r="AP96" s="500"/>
      <c r="AQ96" s="500"/>
      <c r="AR96" s="35">
        <v>0</v>
      </c>
    </row>
    <row r="97" s="35" customFormat="1" ht="17.25" customHeight="1" spans="1:44">
      <c r="A97" s="450"/>
      <c r="D97" s="21"/>
      <c r="E97" s="456"/>
      <c r="F97" s="455"/>
      <c r="G97" s="456"/>
      <c r="H97" s="503"/>
      <c r="I97" s="517"/>
      <c r="J97" s="449"/>
      <c r="K97" s="519"/>
      <c r="L97" s="522"/>
      <c r="M97" s="522"/>
      <c r="N97" s="522"/>
      <c r="O97" s="522"/>
      <c r="P97" s="522"/>
      <c r="Q97" s="522"/>
      <c r="R97" s="522"/>
      <c r="W97" s="537"/>
      <c r="X97" s="500"/>
      <c r="Y97" s="500"/>
      <c r="Z97" s="500"/>
      <c r="AA97" s="500"/>
      <c r="AB97" s="500"/>
      <c r="AC97" s="500"/>
      <c r="AD97" s="500"/>
      <c r="AE97" s="500"/>
      <c r="AF97" s="500"/>
      <c r="AG97" s="500"/>
      <c r="AH97" s="500"/>
      <c r="AI97" s="500"/>
      <c r="AJ97" s="500"/>
      <c r="AK97" s="500"/>
      <c r="AL97" s="500"/>
      <c r="AM97" s="500"/>
      <c r="AN97" s="500"/>
      <c r="AO97" s="500"/>
      <c r="AP97" s="500"/>
      <c r="AQ97" s="500"/>
      <c r="AR97" s="35">
        <v>0</v>
      </c>
    </row>
    <row r="98" s="35" customFormat="1" ht="17.25" customHeight="1" spans="1:44">
      <c r="A98" s="450"/>
      <c r="D98" s="21"/>
      <c r="E98" s="456"/>
      <c r="F98" s="458"/>
      <c r="G98" s="456"/>
      <c r="H98" s="504"/>
      <c r="I98" s="523"/>
      <c r="J98" s="523"/>
      <c r="K98" s="523"/>
      <c r="L98" s="523"/>
      <c r="M98" s="523"/>
      <c r="N98" s="523"/>
      <c r="O98" s="523"/>
      <c r="P98" s="523"/>
      <c r="Q98" s="523"/>
      <c r="R98" s="523"/>
      <c r="S98" s="538"/>
      <c r="T98" s="538"/>
      <c r="U98" s="538"/>
      <c r="V98" s="538"/>
      <c r="W98" s="539"/>
      <c r="X98" s="500"/>
      <c r="Y98" s="500"/>
      <c r="Z98" s="500"/>
      <c r="AA98" s="500"/>
      <c r="AB98" s="500"/>
      <c r="AC98" s="500"/>
      <c r="AD98" s="500"/>
      <c r="AE98" s="500"/>
      <c r="AF98" s="500"/>
      <c r="AG98" s="500"/>
      <c r="AH98" s="500"/>
      <c r="AI98" s="500"/>
      <c r="AJ98" s="500"/>
      <c r="AK98" s="500"/>
      <c r="AL98" s="500"/>
      <c r="AM98" s="500"/>
      <c r="AN98" s="500"/>
      <c r="AO98" s="500"/>
      <c r="AP98" s="500"/>
      <c r="AQ98" s="500"/>
      <c r="AR98" s="35">
        <v>0</v>
      </c>
    </row>
    <row r="99" s="35" customFormat="1" ht="17.25" customHeight="1" spans="1:44">
      <c r="A99" s="450"/>
      <c r="C99" s="216"/>
      <c r="D99" s="1262">
        <v>5</v>
      </c>
      <c r="E99" s="452" t="s">
        <v>244</v>
      </c>
      <c r="F99" s="453" t="s">
        <v>62</v>
      </c>
      <c r="G99" s="454" t="str">
        <f>INDEX(VD_NAME_LIST,MATCH("4189677",VD_ID_LIST,0))</f>
        <v>Подключение (технологическое присоединение) к централизованной системе водоснабжения</v>
      </c>
      <c r="H99" s="451"/>
      <c r="I99" s="451">
        <v>1</v>
      </c>
      <c r="J99" s="214" t="s">
        <v>245</v>
      </c>
      <c r="K99" s="472" t="s">
        <v>62</v>
      </c>
      <c r="L99" s="231"/>
      <c r="M99" s="231" t="s">
        <v>111</v>
      </c>
      <c r="N99" s="473" t="str">
        <f>IF(Z99="","",INDEX(TERRITORY_MR_LIST,MATCH(Z99,TERRITORY_LIST_ID,0)))</f>
        <v>Территория 1</v>
      </c>
      <c r="O99" s="472" t="s">
        <v>19</v>
      </c>
      <c r="P99" s="231"/>
      <c r="Q99" s="231" t="s">
        <v>111</v>
      </c>
      <c r="R99" s="1275" t="s">
        <v>28</v>
      </c>
      <c r="S99" s="493" t="s">
        <v>19</v>
      </c>
      <c r="T99" s="493"/>
      <c r="U99" s="493" t="s">
        <v>111</v>
      </c>
      <c r="V99" s="494"/>
      <c r="W99" s="214"/>
      <c r="X99" s="499"/>
      <c r="Y99" s="499"/>
      <c r="Z99" s="499" t="s">
        <v>99</v>
      </c>
      <c r="AA99" s="499"/>
      <c r="AB99" s="499" t="s">
        <v>246</v>
      </c>
      <c r="AC99" s="499" t="s">
        <v>247</v>
      </c>
      <c r="AD99" s="499" t="s">
        <v>248</v>
      </c>
      <c r="AE99" s="499" t="s">
        <v>249</v>
      </c>
      <c r="AF99" s="499" t="s">
        <v>250</v>
      </c>
      <c r="AG99" s="499"/>
      <c r="AH99" s="499" t="str">
        <f>IF($E$99=0,"",$E$99)</f>
        <v>Тариф на подключение (технологическое присоединение) к централизованной системе холодного водоснабжения</v>
      </c>
      <c r="AI99" s="499" t="str">
        <f>IF($G$99=0,"",$G$99)</f>
        <v>Подключение (технологическое присоединение) к централизованной системе водоснабжения</v>
      </c>
      <c r="AJ99" s="499" t="str">
        <f>IF($J$99=0,"",$J$99)</f>
        <v>Подключение (технологическое присоединение) к централизованной системе водоснабжения
</v>
      </c>
      <c r="AK99" s="499" t="str">
        <f>IF($K$99="нет","без дифференциации",IF($N$99=0,"",$N$99))</f>
        <v>Территория 1</v>
      </c>
      <c r="AL99" s="499" t="str">
        <f>IF($O$99="нет","без дифференциации",IF($R$99=0,"",$R$99))</f>
        <v>без дифференциации</v>
      </c>
      <c r="AM99" s="499" t="str">
        <f>IF($S$99="нет","без дифференциации",IF($V$99=0,"",$V$99))</f>
        <v>без дифференциации</v>
      </c>
      <c r="AN99" s="1272">
        <f>$I$99</f>
        <v>1</v>
      </c>
      <c r="AO99" s="499" t="str">
        <f>$I$99&amp;"."&amp;$M$99</f>
        <v>1.1</v>
      </c>
      <c r="AP99" s="500" t="str">
        <f>$I$99&amp;"."&amp;$M$99&amp;"."&amp;$Q$99</f>
        <v>1.1.1</v>
      </c>
      <c r="AQ99" s="500" t="str">
        <f>$I$99&amp;"."&amp;$M$99&amp;"."&amp;$Q$99&amp;"."&amp;$U$99</f>
        <v>1.1.1.1</v>
      </c>
      <c r="AR99" s="35">
        <v>0</v>
      </c>
    </row>
    <row r="100" s="35" customFormat="1" ht="17.25" customHeight="1" spans="1:44">
      <c r="A100" s="450"/>
      <c r="D100" s="1262"/>
      <c r="E100" s="452"/>
      <c r="F100" s="455"/>
      <c r="G100" s="454"/>
      <c r="H100" s="451"/>
      <c r="I100" s="451"/>
      <c r="J100" s="214"/>
      <c r="K100" s="474"/>
      <c r="L100" s="231"/>
      <c r="M100" s="231"/>
      <c r="N100" s="473"/>
      <c r="O100" s="474"/>
      <c r="P100" s="231"/>
      <c r="Q100" s="231"/>
      <c r="R100" s="1275" t="s">
        <v>28</v>
      </c>
      <c r="S100" s="493"/>
      <c r="T100" s="495"/>
      <c r="U100" s="496"/>
      <c r="V100" s="496"/>
      <c r="W100" s="214"/>
      <c r="X100" s="500"/>
      <c r="Y100" s="500"/>
      <c r="Z100" s="500"/>
      <c r="AA100" s="500"/>
      <c r="AB100" s="500"/>
      <c r="AC100" s="500"/>
      <c r="AD100" s="500"/>
      <c r="AE100" s="500"/>
      <c r="AF100" s="500"/>
      <c r="AG100" s="500"/>
      <c r="AH100" s="500"/>
      <c r="AI100" s="500"/>
      <c r="AJ100" s="500"/>
      <c r="AK100" s="500"/>
      <c r="AL100" s="500"/>
      <c r="AM100" s="500"/>
      <c r="AN100" s="500"/>
      <c r="AO100" s="500"/>
      <c r="AP100" s="500"/>
      <c r="AQ100" s="500"/>
      <c r="AR100" s="35">
        <v>0</v>
      </c>
    </row>
    <row r="101" s="35" customFormat="1" ht="17.25" customHeight="1" spans="1:44">
      <c r="A101" s="450"/>
      <c r="D101" s="21"/>
      <c r="E101" s="456"/>
      <c r="F101" s="455"/>
      <c r="G101" s="457"/>
      <c r="H101" s="21"/>
      <c r="I101" s="21"/>
      <c r="J101" s="475"/>
      <c r="K101" s="474"/>
      <c r="L101" s="21"/>
      <c r="M101" s="21"/>
      <c r="N101" s="476"/>
      <c r="O101" s="477"/>
      <c r="P101" s="459"/>
      <c r="Q101" s="478"/>
      <c r="R101" s="478" t="s">
        <v>251</v>
      </c>
      <c r="S101" s="491"/>
      <c r="T101" s="491"/>
      <c r="U101" s="491"/>
      <c r="V101" s="491"/>
      <c r="W101" s="497"/>
      <c r="X101" s="500"/>
      <c r="Y101" s="500"/>
      <c r="Z101" s="500"/>
      <c r="AA101" s="500"/>
      <c r="AB101" s="500"/>
      <c r="AC101" s="500"/>
      <c r="AD101" s="500"/>
      <c r="AE101" s="500"/>
      <c r="AF101" s="500"/>
      <c r="AG101" s="500"/>
      <c r="AH101" s="500"/>
      <c r="AI101" s="500"/>
      <c r="AJ101" s="500"/>
      <c r="AK101" s="500"/>
      <c r="AL101" s="500"/>
      <c r="AM101" s="500"/>
      <c r="AN101" s="500"/>
      <c r="AO101" s="500"/>
      <c r="AP101" s="500"/>
      <c r="AQ101" s="500"/>
      <c r="AR101" s="35">
        <v>0</v>
      </c>
    </row>
    <row r="102" s="35" customFormat="1" ht="17.25" customHeight="1" spans="1:44">
      <c r="A102" s="450"/>
      <c r="D102" s="21"/>
      <c r="E102" s="456"/>
      <c r="F102" s="455"/>
      <c r="G102" s="457"/>
      <c r="H102" s="21"/>
      <c r="I102" s="21"/>
      <c r="J102" s="475"/>
      <c r="K102" s="477"/>
      <c r="L102" s="459"/>
      <c r="M102" s="478"/>
      <c r="N102" s="478" t="s">
        <v>252</v>
      </c>
      <c r="O102" s="478"/>
      <c r="P102" s="478"/>
      <c r="Q102" s="478"/>
      <c r="R102" s="478"/>
      <c r="S102" s="491"/>
      <c r="T102" s="491"/>
      <c r="U102" s="491"/>
      <c r="V102" s="491"/>
      <c r="W102" s="490"/>
      <c r="X102" s="500"/>
      <c r="Y102" s="500"/>
      <c r="Z102" s="500"/>
      <c r="AA102" s="500"/>
      <c r="AB102" s="500"/>
      <c r="AC102" s="500"/>
      <c r="AD102" s="500"/>
      <c r="AE102" s="500"/>
      <c r="AF102" s="500"/>
      <c r="AG102" s="500"/>
      <c r="AH102" s="500"/>
      <c r="AI102" s="500"/>
      <c r="AJ102" s="500"/>
      <c r="AK102" s="500"/>
      <c r="AL102" s="500"/>
      <c r="AM102" s="500"/>
      <c r="AN102" s="500"/>
      <c r="AO102" s="500"/>
      <c r="AP102" s="500"/>
      <c r="AQ102" s="500"/>
      <c r="AR102" s="35">
        <v>0</v>
      </c>
    </row>
    <row r="103" s="35" customFormat="1" ht="17.25" customHeight="1" spans="1:44">
      <c r="A103" s="450"/>
      <c r="D103" s="21"/>
      <c r="E103" s="456"/>
      <c r="F103" s="458"/>
      <c r="G103" s="457"/>
      <c r="H103" s="459"/>
      <c r="I103" s="478"/>
      <c r="J103" s="478" t="s">
        <v>253</v>
      </c>
      <c r="K103" s="478"/>
      <c r="L103" s="478"/>
      <c r="M103" s="478"/>
      <c r="N103" s="478"/>
      <c r="O103" s="478"/>
      <c r="P103" s="478"/>
      <c r="Q103" s="478"/>
      <c r="R103" s="478"/>
      <c r="S103" s="491"/>
      <c r="T103" s="491"/>
      <c r="U103" s="491"/>
      <c r="V103" s="491"/>
      <c r="W103" s="490"/>
      <c r="X103" s="500"/>
      <c r="Y103" s="500"/>
      <c r="Z103" s="500"/>
      <c r="AA103" s="500"/>
      <c r="AB103" s="500"/>
      <c r="AC103" s="500"/>
      <c r="AD103" s="500"/>
      <c r="AE103" s="500"/>
      <c r="AF103" s="500"/>
      <c r="AG103" s="500"/>
      <c r="AH103" s="500"/>
      <c r="AI103" s="500"/>
      <c r="AJ103" s="500"/>
      <c r="AK103" s="500"/>
      <c r="AL103" s="500"/>
      <c r="AM103" s="500"/>
      <c r="AN103" s="500"/>
      <c r="AO103" s="500"/>
      <c r="AP103" s="500"/>
      <c r="AQ103" s="500"/>
      <c r="AR103" s="35">
        <v>0</v>
      </c>
    </row>
    <row r="104" s="35" customFormat="1" hidden="1" customHeight="1" spans="1:44">
      <c r="A104" s="150"/>
      <c r="B104" s="150"/>
      <c r="Y104" s="500"/>
      <c r="Z104" s="500"/>
      <c r="AA104" s="500"/>
      <c r="AB104" s="500"/>
      <c r="AC104" s="500"/>
      <c r="AD104" s="500"/>
      <c r="AE104" s="500"/>
      <c r="AF104" s="500"/>
      <c r="AG104" s="500"/>
      <c r="AH104" s="500"/>
      <c r="AI104" s="500"/>
      <c r="AJ104" s="500"/>
      <c r="AK104" s="500"/>
      <c r="AL104" s="500"/>
      <c r="AM104" s="500"/>
      <c r="AN104" s="500"/>
      <c r="AO104" s="500"/>
      <c r="AP104" s="500"/>
      <c r="AQ104" s="500"/>
      <c r="AR104" s="35">
        <v>0</v>
      </c>
    </row>
    <row r="105" s="35" customFormat="1" ht="17.25" hidden="1" customHeight="1" spans="1:44">
      <c r="A105" s="450"/>
      <c r="C105" s="216"/>
      <c r="D105" s="1262">
        <v>1</v>
      </c>
      <c r="E105" s="452" t="s">
        <v>254</v>
      </c>
      <c r="F105" s="453" t="s">
        <v>19</v>
      </c>
      <c r="G105" s="452"/>
      <c r="H105" s="502"/>
      <c r="I105" s="513"/>
      <c r="J105" s="514"/>
      <c r="K105" s="515"/>
      <c r="L105" s="515"/>
      <c r="M105" s="515"/>
      <c r="N105" s="516"/>
      <c r="O105" s="515"/>
      <c r="P105" s="515"/>
      <c r="Q105" s="515"/>
      <c r="R105" s="535"/>
      <c r="S105" s="515"/>
      <c r="T105" s="515"/>
      <c r="U105" s="515"/>
      <c r="V105" s="535"/>
      <c r="W105" s="536"/>
      <c r="Y105" s="499"/>
      <c r="Z105" s="499"/>
      <c r="AA105" s="499"/>
      <c r="AB105" s="499"/>
      <c r="AC105" s="499" t="s">
        <v>255</v>
      </c>
      <c r="AD105" s="499" t="s">
        <v>256</v>
      </c>
      <c r="AE105" s="499" t="s">
        <v>257</v>
      </c>
      <c r="AF105" s="499" t="s">
        <v>258</v>
      </c>
      <c r="AG105" s="499"/>
      <c r="AH105" s="499" t="str">
        <f>IF($E$105=0,"",$E$105)</f>
        <v>Тариф на горячую воду (горячее водоснабжение)</v>
      </c>
      <c r="AI105" s="499" t="str">
        <f>IF($G$105=0,"",$G$105)</f>
        <v/>
      </c>
      <c r="AJ105" s="499" t="str">
        <f>IF($J$105=0,"",$J$105)</f>
        <v/>
      </c>
      <c r="AK105" s="499" t="str">
        <f>IF($K$105="нет","без дифференциации",IF($N$105=0,"",$N$105))</f>
        <v/>
      </c>
      <c r="AL105" s="499" t="str">
        <f>IF($O$105="нет","без дифференциации",IF($R$105=0,"",$R$105))</f>
        <v/>
      </c>
      <c r="AM105" s="499" t="str">
        <f>IF($S$105="нет","без дифференциации",IF($V$105=0,"",$V$105))</f>
        <v/>
      </c>
      <c r="AN105" s="499">
        <f>$I$105</f>
        <v>0</v>
      </c>
      <c r="AO105" s="499" t="str">
        <f>$I$105&amp;"."&amp;$M$105</f>
        <v>.</v>
      </c>
      <c r="AP105" s="499" t="str">
        <f>$I$105&amp;"."&amp;$M$105&amp;"."&amp;$Q$105</f>
        <v>..</v>
      </c>
      <c r="AQ105" s="499" t="str">
        <f>$I$105&amp;"."&amp;$M$105&amp;"."&amp;$Q$105&amp;"."&amp;$U$105</f>
        <v>...</v>
      </c>
      <c r="AR105" s="35">
        <v>0</v>
      </c>
    </row>
    <row r="106" s="35" customFormat="1" ht="17.25" hidden="1" customHeight="1" spans="1:44">
      <c r="A106" s="450"/>
      <c r="D106" s="1262"/>
      <c r="E106" s="452"/>
      <c r="F106" s="455"/>
      <c r="G106" s="452"/>
      <c r="H106" s="503"/>
      <c r="I106" s="517"/>
      <c r="J106" s="518"/>
      <c r="K106" s="519"/>
      <c r="L106" s="519"/>
      <c r="M106" s="519"/>
      <c r="N106" s="520"/>
      <c r="O106" s="519"/>
      <c r="P106" s="519"/>
      <c r="Q106" s="519"/>
      <c r="R106" s="521"/>
      <c r="S106" s="519"/>
      <c r="T106" s="522"/>
      <c r="U106" s="522"/>
      <c r="V106" s="522"/>
      <c r="W106" s="537"/>
      <c r="Y106" s="500"/>
      <c r="Z106" s="500"/>
      <c r="AA106" s="500"/>
      <c r="AB106" s="500"/>
      <c r="AC106" s="500"/>
      <c r="AD106" s="500"/>
      <c r="AE106" s="500"/>
      <c r="AF106" s="500"/>
      <c r="AG106" s="500"/>
      <c r="AH106" s="500"/>
      <c r="AI106" s="500"/>
      <c r="AJ106" s="500"/>
      <c r="AK106" s="500"/>
      <c r="AL106" s="500"/>
      <c r="AM106" s="500"/>
      <c r="AN106" s="500"/>
      <c r="AO106" s="500"/>
      <c r="AP106" s="500"/>
      <c r="AQ106" s="500"/>
      <c r="AR106" s="35">
        <v>0</v>
      </c>
    </row>
    <row r="107" s="35" customFormat="1" ht="17.25" hidden="1" customHeight="1" spans="1:44">
      <c r="A107" s="450"/>
      <c r="C107" s="216"/>
      <c r="D107" s="1262"/>
      <c r="E107" s="452"/>
      <c r="F107" s="455"/>
      <c r="G107" s="452"/>
      <c r="H107" s="503"/>
      <c r="I107" s="517"/>
      <c r="J107" s="449"/>
      <c r="K107" s="519"/>
      <c r="L107" s="519"/>
      <c r="M107" s="519"/>
      <c r="N107" s="521"/>
      <c r="O107" s="519"/>
      <c r="P107" s="519"/>
      <c r="Q107" s="522"/>
      <c r="R107" s="522"/>
      <c r="W107" s="537"/>
      <c r="Y107" s="499"/>
      <c r="Z107" s="499"/>
      <c r="AA107" s="499"/>
      <c r="AB107" s="499"/>
      <c r="AC107" s="499"/>
      <c r="AD107" s="499"/>
      <c r="AE107" s="499"/>
      <c r="AF107" s="499"/>
      <c r="AG107" s="499"/>
      <c r="AH107" s="499"/>
      <c r="AI107" s="499"/>
      <c r="AJ107" s="499"/>
      <c r="AK107" s="499"/>
      <c r="AL107" s="499"/>
      <c r="AM107" s="499"/>
      <c r="AN107" s="499"/>
      <c r="AO107" s="499"/>
      <c r="AP107" s="499"/>
      <c r="AQ107" s="499"/>
      <c r="AR107" s="35">
        <v>0</v>
      </c>
    </row>
    <row r="108" s="35" customFormat="1" ht="17.25" hidden="1" customHeight="1" spans="1:44">
      <c r="A108" s="450"/>
      <c r="D108" s="1262"/>
      <c r="E108" s="452"/>
      <c r="F108" s="455"/>
      <c r="G108" s="452"/>
      <c r="H108" s="503"/>
      <c r="I108" s="517"/>
      <c r="J108" s="449"/>
      <c r="K108" s="519"/>
      <c r="L108" s="522"/>
      <c r="M108" s="522"/>
      <c r="N108" s="522"/>
      <c r="O108" s="522"/>
      <c r="P108" s="522"/>
      <c r="Q108" s="522"/>
      <c r="R108" s="522"/>
      <c r="W108" s="537"/>
      <c r="Y108" s="500"/>
      <c r="Z108" s="500"/>
      <c r="AA108" s="500"/>
      <c r="AB108" s="500"/>
      <c r="AC108" s="500"/>
      <c r="AD108" s="500"/>
      <c r="AE108" s="500"/>
      <c r="AF108" s="500"/>
      <c r="AG108" s="500"/>
      <c r="AH108" s="500"/>
      <c r="AI108" s="500"/>
      <c r="AJ108" s="500"/>
      <c r="AK108" s="500"/>
      <c r="AL108" s="500"/>
      <c r="AM108" s="500"/>
      <c r="AN108" s="500"/>
      <c r="AO108" s="500"/>
      <c r="AP108" s="500"/>
      <c r="AQ108" s="500"/>
      <c r="AR108" s="35">
        <v>0</v>
      </c>
    </row>
    <row r="109" s="35" customFormat="1" ht="17.25" hidden="1" customHeight="1" spans="1:44">
      <c r="A109" s="450"/>
      <c r="D109" s="21"/>
      <c r="E109" s="456"/>
      <c r="F109" s="458"/>
      <c r="G109" s="456"/>
      <c r="H109" s="504"/>
      <c r="I109" s="523"/>
      <c r="J109" s="523"/>
      <c r="K109" s="523"/>
      <c r="L109" s="523"/>
      <c r="M109" s="523"/>
      <c r="N109" s="523"/>
      <c r="O109" s="523"/>
      <c r="P109" s="523"/>
      <c r="Q109" s="523"/>
      <c r="R109" s="523"/>
      <c r="S109" s="538"/>
      <c r="T109" s="538"/>
      <c r="U109" s="538"/>
      <c r="V109" s="538"/>
      <c r="W109" s="539"/>
      <c r="Y109" s="500"/>
      <c r="Z109" s="500"/>
      <c r="AA109" s="500"/>
      <c r="AB109" s="500"/>
      <c r="AC109" s="500"/>
      <c r="AD109" s="500"/>
      <c r="AE109" s="500"/>
      <c r="AF109" s="500"/>
      <c r="AG109" s="500"/>
      <c r="AH109" s="500"/>
      <c r="AI109" s="500"/>
      <c r="AJ109" s="500"/>
      <c r="AK109" s="500"/>
      <c r="AL109" s="500"/>
      <c r="AM109" s="500"/>
      <c r="AN109" s="500"/>
      <c r="AO109" s="500"/>
      <c r="AP109" s="500"/>
      <c r="AQ109" s="500"/>
      <c r="AR109" s="35">
        <v>0</v>
      </c>
    </row>
    <row r="110" s="35" customFormat="1" ht="17.25" hidden="1" customHeight="1" spans="1:44">
      <c r="A110" s="450"/>
      <c r="C110" s="216"/>
      <c r="D110" s="1262">
        <v>2</v>
      </c>
      <c r="E110" s="452" t="s">
        <v>259</v>
      </c>
      <c r="F110" s="453" t="s">
        <v>19</v>
      </c>
      <c r="G110" s="452"/>
      <c r="H110" s="502"/>
      <c r="I110" s="513"/>
      <c r="J110" s="514"/>
      <c r="K110" s="515"/>
      <c r="L110" s="515"/>
      <c r="M110" s="515"/>
      <c r="N110" s="516"/>
      <c r="O110" s="515"/>
      <c r="P110" s="515"/>
      <c r="Q110" s="515"/>
      <c r="R110" s="535"/>
      <c r="S110" s="515"/>
      <c r="T110" s="515"/>
      <c r="U110" s="515"/>
      <c r="V110" s="535"/>
      <c r="W110" s="536"/>
      <c r="X110" s="499"/>
      <c r="Y110" s="499"/>
      <c r="Z110" s="499"/>
      <c r="AA110" s="499"/>
      <c r="AB110" s="499"/>
      <c r="AC110" s="499" t="s">
        <v>260</v>
      </c>
      <c r="AD110" s="499" t="s">
        <v>261</v>
      </c>
      <c r="AE110" s="499" t="s">
        <v>262</v>
      </c>
      <c r="AF110" s="499" t="s">
        <v>263</v>
      </c>
      <c r="AG110" s="499"/>
      <c r="AH110" s="499" t="str">
        <f>IF($E$110=0,"",$E$110)</f>
        <v>Тариф на транспортировку горячей воды</v>
      </c>
      <c r="AI110" s="499" t="str">
        <f>IF($G$110=0,"",$G$110)</f>
        <v/>
      </c>
      <c r="AJ110" s="499" t="str">
        <f>IF($J$110=0,"",$J$110)</f>
        <v/>
      </c>
      <c r="AK110" s="499" t="str">
        <f>IF($K$110="нет","без дифференциации",IF($N$110=0,"",$N$110))</f>
        <v/>
      </c>
      <c r="AL110" s="499" t="str">
        <f>IF($O$110="нет","без дифференциации",IF($R$110=0,"",$R$110))</f>
        <v/>
      </c>
      <c r="AM110" s="499" t="str">
        <f>IF($S$110="нет","без дифференциации",IF($V$110=0,"",$V$110))</f>
        <v/>
      </c>
      <c r="AN110" s="1272">
        <f>$I$110</f>
        <v>0</v>
      </c>
      <c r="AO110" s="499" t="str">
        <f>$I$110&amp;"."&amp;$M$110</f>
        <v>.</v>
      </c>
      <c r="AP110" s="500" t="str">
        <f>$I$110&amp;"."&amp;$M$110&amp;"."&amp;$Q$110</f>
        <v>..</v>
      </c>
      <c r="AQ110" s="500" t="str">
        <f>$I$110&amp;"."&amp;$M$110&amp;"."&amp;$Q$110&amp;"."&amp;$U$110</f>
        <v>...</v>
      </c>
      <c r="AR110" s="35">
        <v>0</v>
      </c>
    </row>
    <row r="111" s="35" customFormat="1" ht="17.25" hidden="1" customHeight="1" spans="1:44">
      <c r="A111" s="450"/>
      <c r="D111" s="1262"/>
      <c r="E111" s="452"/>
      <c r="F111" s="455"/>
      <c r="G111" s="452"/>
      <c r="H111" s="503"/>
      <c r="I111" s="517"/>
      <c r="J111" s="518"/>
      <c r="K111" s="519"/>
      <c r="L111" s="519"/>
      <c r="M111" s="519"/>
      <c r="N111" s="520"/>
      <c r="O111" s="519"/>
      <c r="P111" s="519"/>
      <c r="Q111" s="519"/>
      <c r="R111" s="521"/>
      <c r="S111" s="519"/>
      <c r="T111" s="522"/>
      <c r="U111" s="522"/>
      <c r="V111" s="522"/>
      <c r="W111" s="537"/>
      <c r="X111" s="500"/>
      <c r="Y111" s="500"/>
      <c r="Z111" s="500"/>
      <c r="AA111" s="500"/>
      <c r="AB111" s="500"/>
      <c r="AC111" s="500"/>
      <c r="AD111" s="500"/>
      <c r="AE111" s="500"/>
      <c r="AF111" s="500"/>
      <c r="AG111" s="500"/>
      <c r="AH111" s="500"/>
      <c r="AI111" s="500"/>
      <c r="AJ111" s="500"/>
      <c r="AK111" s="500"/>
      <c r="AL111" s="500"/>
      <c r="AM111" s="500"/>
      <c r="AN111" s="500"/>
      <c r="AO111" s="500"/>
      <c r="AP111" s="500"/>
      <c r="AQ111" s="500"/>
      <c r="AR111" s="35">
        <v>0</v>
      </c>
    </row>
    <row r="112" s="35" customFormat="1" ht="17.25" hidden="1" customHeight="1" spans="1:44">
      <c r="A112" s="450"/>
      <c r="D112" s="21"/>
      <c r="E112" s="456"/>
      <c r="F112" s="455"/>
      <c r="G112" s="456"/>
      <c r="H112" s="503"/>
      <c r="I112" s="517"/>
      <c r="J112" s="449"/>
      <c r="K112" s="519"/>
      <c r="L112" s="519"/>
      <c r="M112" s="519"/>
      <c r="N112" s="521"/>
      <c r="O112" s="519"/>
      <c r="P112" s="519"/>
      <c r="Q112" s="522"/>
      <c r="R112" s="522"/>
      <c r="W112" s="537"/>
      <c r="X112" s="500"/>
      <c r="Y112" s="500"/>
      <c r="Z112" s="500"/>
      <c r="AA112" s="500"/>
      <c r="AB112" s="500"/>
      <c r="AC112" s="500"/>
      <c r="AD112" s="500"/>
      <c r="AE112" s="500"/>
      <c r="AF112" s="500"/>
      <c r="AG112" s="500"/>
      <c r="AH112" s="500"/>
      <c r="AI112" s="500"/>
      <c r="AJ112" s="500"/>
      <c r="AK112" s="500"/>
      <c r="AL112" s="500"/>
      <c r="AM112" s="500"/>
      <c r="AN112" s="500"/>
      <c r="AO112" s="500"/>
      <c r="AP112" s="500"/>
      <c r="AQ112" s="500"/>
      <c r="AR112" s="35">
        <v>0</v>
      </c>
    </row>
    <row r="113" s="35" customFormat="1" ht="17.25" hidden="1" customHeight="1" spans="1:44">
      <c r="A113" s="450"/>
      <c r="D113" s="21"/>
      <c r="E113" s="456"/>
      <c r="F113" s="455"/>
      <c r="G113" s="456"/>
      <c r="H113" s="503"/>
      <c r="I113" s="517"/>
      <c r="J113" s="449"/>
      <c r="K113" s="519"/>
      <c r="L113" s="522"/>
      <c r="M113" s="522"/>
      <c r="N113" s="522"/>
      <c r="O113" s="522"/>
      <c r="P113" s="522"/>
      <c r="Q113" s="522"/>
      <c r="R113" s="522"/>
      <c r="W113" s="537"/>
      <c r="X113" s="500"/>
      <c r="Y113" s="500"/>
      <c r="Z113" s="500"/>
      <c r="AA113" s="500"/>
      <c r="AB113" s="500"/>
      <c r="AC113" s="500"/>
      <c r="AD113" s="500"/>
      <c r="AE113" s="500"/>
      <c r="AF113" s="500"/>
      <c r="AG113" s="500"/>
      <c r="AH113" s="500"/>
      <c r="AI113" s="500"/>
      <c r="AJ113" s="500"/>
      <c r="AK113" s="500"/>
      <c r="AL113" s="500"/>
      <c r="AM113" s="500"/>
      <c r="AN113" s="500"/>
      <c r="AO113" s="500"/>
      <c r="AP113" s="500"/>
      <c r="AQ113" s="500"/>
      <c r="AR113" s="35">
        <v>0</v>
      </c>
    </row>
    <row r="114" s="35" customFormat="1" ht="17.25" hidden="1" customHeight="1" spans="1:44">
      <c r="A114" s="450"/>
      <c r="D114" s="21"/>
      <c r="E114" s="456"/>
      <c r="F114" s="458"/>
      <c r="G114" s="456"/>
      <c r="H114" s="504"/>
      <c r="I114" s="523"/>
      <c r="J114" s="523"/>
      <c r="K114" s="523"/>
      <c r="L114" s="523"/>
      <c r="M114" s="523"/>
      <c r="N114" s="523"/>
      <c r="O114" s="523"/>
      <c r="P114" s="523"/>
      <c r="Q114" s="523"/>
      <c r="R114" s="523"/>
      <c r="S114" s="538"/>
      <c r="T114" s="538"/>
      <c r="U114" s="538"/>
      <c r="V114" s="538"/>
      <c r="W114" s="539"/>
      <c r="X114" s="500"/>
      <c r="Y114" s="500"/>
      <c r="Z114" s="500"/>
      <c r="AA114" s="500"/>
      <c r="AB114" s="500"/>
      <c r="AC114" s="500"/>
      <c r="AD114" s="500"/>
      <c r="AE114" s="500"/>
      <c r="AF114" s="500"/>
      <c r="AG114" s="500"/>
      <c r="AH114" s="500"/>
      <c r="AI114" s="500"/>
      <c r="AJ114" s="500"/>
      <c r="AK114" s="500"/>
      <c r="AL114" s="500"/>
      <c r="AM114" s="500"/>
      <c r="AN114" s="500"/>
      <c r="AO114" s="500"/>
      <c r="AP114" s="500"/>
      <c r="AQ114" s="500"/>
      <c r="AR114" s="35">
        <v>0</v>
      </c>
    </row>
    <row r="115" s="35" customFormat="1" ht="17.25" hidden="1" customHeight="1" spans="1:44">
      <c r="A115" s="450"/>
      <c r="C115" s="216"/>
      <c r="D115" s="1262">
        <v>3</v>
      </c>
      <c r="E115" s="452" t="s">
        <v>264</v>
      </c>
      <c r="F115" s="453" t="s">
        <v>19</v>
      </c>
      <c r="G115" s="452"/>
      <c r="H115" s="502"/>
      <c r="I115" s="513"/>
      <c r="J115" s="514"/>
      <c r="K115" s="515"/>
      <c r="L115" s="515"/>
      <c r="M115" s="515"/>
      <c r="N115" s="516"/>
      <c r="O115" s="515"/>
      <c r="P115" s="515"/>
      <c r="Q115" s="515"/>
      <c r="R115" s="535"/>
      <c r="S115" s="515"/>
      <c r="T115" s="515"/>
      <c r="U115" s="515"/>
      <c r="V115" s="535"/>
      <c r="W115" s="536"/>
      <c r="X115" s="499"/>
      <c r="Y115" s="499"/>
      <c r="Z115" s="499"/>
      <c r="AA115" s="499"/>
      <c r="AB115" s="499"/>
      <c r="AC115" s="499" t="s">
        <v>265</v>
      </c>
      <c r="AD115" s="499" t="s">
        <v>266</v>
      </c>
      <c r="AE115" s="499" t="s">
        <v>267</v>
      </c>
      <c r="AF115" s="499" t="s">
        <v>268</v>
      </c>
      <c r="AG115" s="499"/>
      <c r="AH115" s="499" t="str">
        <f>IF($E$115=0,"",$E$115)</f>
        <v>Тариф на подключение (технологическое присоединение) к централизованной системе горячего водоснабжения</v>
      </c>
      <c r="AI115" s="499" t="str">
        <f>IF($G$115=0,"",$G$115)</f>
        <v/>
      </c>
      <c r="AJ115" s="499" t="str">
        <f>IF($J$115=0,"",$J$115)</f>
        <v/>
      </c>
      <c r="AK115" s="499" t="str">
        <f>IF($K$115="нет","без дифференциации",IF($N$115=0,"",$N$115))</f>
        <v/>
      </c>
      <c r="AL115" s="499" t="str">
        <f>IF($O$115="нет","без дифференциации",IF($R$115=0,"",$R$115))</f>
        <v/>
      </c>
      <c r="AM115" s="499" t="str">
        <f>IF($S$115="нет","без дифференциации",IF($V$115=0,"",$V$115))</f>
        <v/>
      </c>
      <c r="AN115" s="1272">
        <f>$I$115</f>
        <v>0</v>
      </c>
      <c r="AO115" s="499" t="str">
        <f>$I$115&amp;"."&amp;$M$115</f>
        <v>.</v>
      </c>
      <c r="AP115" s="500" t="str">
        <f>$I$115&amp;"."&amp;$M$115&amp;"."&amp;$Q$115</f>
        <v>..</v>
      </c>
      <c r="AQ115" s="500" t="str">
        <f>$I$115&amp;"."&amp;$M$115&amp;"."&amp;$Q$115&amp;"."&amp;$U$115</f>
        <v>...</v>
      </c>
      <c r="AR115" s="35">
        <v>0</v>
      </c>
    </row>
    <row r="116" s="35" customFormat="1" ht="17.25" hidden="1" customHeight="1" spans="1:44">
      <c r="A116" s="450"/>
      <c r="D116" s="1262"/>
      <c r="E116" s="452"/>
      <c r="F116" s="455"/>
      <c r="G116" s="452"/>
      <c r="H116" s="503"/>
      <c r="I116" s="517"/>
      <c r="J116" s="518"/>
      <c r="K116" s="519"/>
      <c r="L116" s="519"/>
      <c r="M116" s="519"/>
      <c r="N116" s="520"/>
      <c r="O116" s="519"/>
      <c r="P116" s="519"/>
      <c r="Q116" s="519"/>
      <c r="R116" s="521"/>
      <c r="S116" s="519"/>
      <c r="T116" s="522"/>
      <c r="U116" s="522"/>
      <c r="V116" s="522"/>
      <c r="W116" s="537"/>
      <c r="X116" s="500"/>
      <c r="Y116" s="500"/>
      <c r="Z116" s="500"/>
      <c r="AA116" s="500"/>
      <c r="AB116" s="500"/>
      <c r="AC116" s="500"/>
      <c r="AD116" s="500"/>
      <c r="AE116" s="500"/>
      <c r="AF116" s="500"/>
      <c r="AG116" s="500"/>
      <c r="AH116" s="500"/>
      <c r="AI116" s="500"/>
      <c r="AJ116" s="500"/>
      <c r="AK116" s="500"/>
      <c r="AL116" s="500"/>
      <c r="AM116" s="500"/>
      <c r="AN116" s="500"/>
      <c r="AO116" s="500"/>
      <c r="AP116" s="500"/>
      <c r="AQ116" s="500"/>
      <c r="AR116" s="35">
        <v>0</v>
      </c>
    </row>
    <row r="117" s="35" customFormat="1" ht="17.25" hidden="1" customHeight="1" spans="1:44">
      <c r="A117" s="450"/>
      <c r="D117" s="21"/>
      <c r="E117" s="456"/>
      <c r="F117" s="455"/>
      <c r="G117" s="456"/>
      <c r="H117" s="503"/>
      <c r="I117" s="517"/>
      <c r="J117" s="449"/>
      <c r="K117" s="519"/>
      <c r="L117" s="519"/>
      <c r="M117" s="519"/>
      <c r="N117" s="521"/>
      <c r="O117" s="519"/>
      <c r="P117" s="519"/>
      <c r="Q117" s="522"/>
      <c r="R117" s="522"/>
      <c r="W117" s="537"/>
      <c r="X117" s="500"/>
      <c r="Y117" s="500"/>
      <c r="Z117" s="500"/>
      <c r="AA117" s="500"/>
      <c r="AB117" s="500"/>
      <c r="AC117" s="500"/>
      <c r="AD117" s="500"/>
      <c r="AE117" s="500"/>
      <c r="AF117" s="500"/>
      <c r="AG117" s="500"/>
      <c r="AH117" s="500"/>
      <c r="AI117" s="500"/>
      <c r="AJ117" s="500"/>
      <c r="AK117" s="500"/>
      <c r="AL117" s="500"/>
      <c r="AM117" s="500"/>
      <c r="AN117" s="500"/>
      <c r="AO117" s="500"/>
      <c r="AP117" s="500"/>
      <c r="AQ117" s="500"/>
      <c r="AR117" s="35">
        <v>0</v>
      </c>
    </row>
    <row r="118" s="35" customFormat="1" ht="17.25" hidden="1" customHeight="1" spans="1:44">
      <c r="A118" s="450"/>
      <c r="D118" s="21"/>
      <c r="E118" s="456"/>
      <c r="F118" s="455"/>
      <c r="G118" s="456"/>
      <c r="H118" s="503"/>
      <c r="I118" s="517"/>
      <c r="J118" s="449"/>
      <c r="K118" s="519"/>
      <c r="L118" s="522"/>
      <c r="M118" s="522"/>
      <c r="N118" s="522"/>
      <c r="O118" s="522"/>
      <c r="P118" s="522"/>
      <c r="Q118" s="522"/>
      <c r="R118" s="522"/>
      <c r="W118" s="537"/>
      <c r="X118" s="500"/>
      <c r="Y118" s="500"/>
      <c r="Z118" s="500"/>
      <c r="AA118" s="500"/>
      <c r="AB118" s="500"/>
      <c r="AC118" s="500"/>
      <c r="AD118" s="500"/>
      <c r="AE118" s="500"/>
      <c r="AF118" s="500"/>
      <c r="AG118" s="500"/>
      <c r="AH118" s="500"/>
      <c r="AI118" s="500"/>
      <c r="AJ118" s="500"/>
      <c r="AK118" s="500"/>
      <c r="AL118" s="500"/>
      <c r="AM118" s="500"/>
      <c r="AN118" s="500"/>
      <c r="AO118" s="500"/>
      <c r="AP118" s="500"/>
      <c r="AQ118" s="500"/>
      <c r="AR118" s="35">
        <v>0</v>
      </c>
    </row>
    <row r="119" s="35" customFormat="1" ht="17.25" hidden="1" customHeight="1" spans="1:44">
      <c r="A119" s="450"/>
      <c r="D119" s="21"/>
      <c r="E119" s="456"/>
      <c r="F119" s="458"/>
      <c r="G119" s="456"/>
      <c r="H119" s="504"/>
      <c r="I119" s="523"/>
      <c r="J119" s="523"/>
      <c r="K119" s="523"/>
      <c r="L119" s="523"/>
      <c r="M119" s="523"/>
      <c r="N119" s="523"/>
      <c r="O119" s="523"/>
      <c r="P119" s="523"/>
      <c r="Q119" s="523"/>
      <c r="R119" s="523"/>
      <c r="S119" s="538"/>
      <c r="T119" s="538"/>
      <c r="U119" s="538"/>
      <c r="V119" s="538"/>
      <c r="W119" s="539"/>
      <c r="X119" s="500"/>
      <c r="Y119" s="500"/>
      <c r="Z119" s="500"/>
      <c r="AA119" s="500"/>
      <c r="AB119" s="500"/>
      <c r="AC119" s="500"/>
      <c r="AD119" s="500"/>
      <c r="AE119" s="500"/>
      <c r="AF119" s="500"/>
      <c r="AG119" s="500"/>
      <c r="AH119" s="500"/>
      <c r="AI119" s="500"/>
      <c r="AJ119" s="500"/>
      <c r="AK119" s="500"/>
      <c r="AL119" s="500"/>
      <c r="AM119" s="500"/>
      <c r="AN119" s="500"/>
      <c r="AO119" s="500"/>
      <c r="AP119" s="500"/>
      <c r="AQ119" s="500"/>
      <c r="AR119" s="35">
        <v>0</v>
      </c>
    </row>
    <row r="120" s="35" customFormat="1" hidden="1" customHeight="1" spans="1:44">
      <c r="A120" s="150"/>
      <c r="B120" s="150"/>
      <c r="Y120" s="500"/>
      <c r="Z120" s="500"/>
      <c r="AA120" s="500"/>
      <c r="AB120" s="500"/>
      <c r="AC120" s="500"/>
      <c r="AD120" s="500"/>
      <c r="AE120" s="500"/>
      <c r="AF120" s="500"/>
      <c r="AG120" s="500"/>
      <c r="AH120" s="500"/>
      <c r="AI120" s="500"/>
      <c r="AJ120" s="500"/>
      <c r="AK120" s="500"/>
      <c r="AL120" s="500"/>
      <c r="AM120" s="500"/>
      <c r="AN120" s="500"/>
      <c r="AO120" s="500"/>
      <c r="AP120" s="500"/>
      <c r="AQ120" s="500"/>
      <c r="AR120" s="35">
        <v>0</v>
      </c>
    </row>
    <row r="121" s="35" customFormat="1" ht="17.25" hidden="1" customHeight="1" spans="1:44">
      <c r="A121" s="450"/>
      <c r="C121" s="216"/>
      <c r="D121" s="1262">
        <v>1</v>
      </c>
      <c r="E121" s="452" t="s">
        <v>269</v>
      </c>
      <c r="F121" s="453" t="s">
        <v>19</v>
      </c>
      <c r="G121" s="452"/>
      <c r="H121" s="502"/>
      <c r="I121" s="513"/>
      <c r="J121" s="514"/>
      <c r="K121" s="515"/>
      <c r="L121" s="515"/>
      <c r="M121" s="515"/>
      <c r="N121" s="516"/>
      <c r="O121" s="515"/>
      <c r="P121" s="515"/>
      <c r="Q121" s="515"/>
      <c r="R121" s="535"/>
      <c r="S121" s="515"/>
      <c r="T121" s="515"/>
      <c r="U121" s="515"/>
      <c r="V121" s="535"/>
      <c r="W121" s="536"/>
      <c r="Y121" s="499"/>
      <c r="Z121" s="499"/>
      <c r="AA121" s="499"/>
      <c r="AB121" s="499"/>
      <c r="AC121" s="499" t="s">
        <v>270</v>
      </c>
      <c r="AD121" s="499" t="s">
        <v>271</v>
      </c>
      <c r="AE121" s="499" t="s">
        <v>272</v>
      </c>
      <c r="AF121" s="499" t="s">
        <v>273</v>
      </c>
      <c r="AG121" s="499"/>
      <c r="AH121" s="499" t="str">
        <f>IF($E$121=0,"",$E$121)</f>
        <v>Тариф на водоотведение</v>
      </c>
      <c r="AI121" s="499" t="str">
        <f>IF($G$121=0,"",$G$121)</f>
        <v/>
      </c>
      <c r="AJ121" s="499" t="str">
        <f>IF($J$121=0,"",$J$121)</f>
        <v/>
      </c>
      <c r="AK121" s="499" t="str">
        <f>IF($K$121="нет","без дифференциации",IF($N$121=0,"",$N$121))</f>
        <v/>
      </c>
      <c r="AL121" s="499" t="str">
        <f>IF($O$121="нет","без дифференциации",IF($R$121=0,"",$R$121))</f>
        <v/>
      </c>
      <c r="AM121" s="499" t="str">
        <f>IF($S$121="нет","без дифференциации",IF($V$121=0,"",$V$121))</f>
        <v/>
      </c>
      <c r="AN121" s="499">
        <f>$I$121</f>
        <v>0</v>
      </c>
      <c r="AO121" s="499" t="str">
        <f>$I$121&amp;"."&amp;$M$121</f>
        <v>.</v>
      </c>
      <c r="AP121" s="499" t="str">
        <f>$I$121&amp;"."&amp;$M$121&amp;"."&amp;$Q$121</f>
        <v>..</v>
      </c>
      <c r="AQ121" s="499" t="str">
        <f>$I$121&amp;"."&amp;$M$121&amp;"."&amp;$Q$121&amp;"."&amp;$U$121</f>
        <v>...</v>
      </c>
      <c r="AR121" s="35">
        <v>0</v>
      </c>
    </row>
    <row r="122" s="35" customFormat="1" ht="17.25" hidden="1" customHeight="1" spans="1:44">
      <c r="A122" s="450"/>
      <c r="D122" s="1262"/>
      <c r="E122" s="452"/>
      <c r="F122" s="455"/>
      <c r="G122" s="452"/>
      <c r="H122" s="503"/>
      <c r="I122" s="517"/>
      <c r="J122" s="518"/>
      <c r="K122" s="519"/>
      <c r="L122" s="519"/>
      <c r="M122" s="519"/>
      <c r="N122" s="520"/>
      <c r="O122" s="519"/>
      <c r="P122" s="519"/>
      <c r="Q122" s="519"/>
      <c r="R122" s="521"/>
      <c r="S122" s="519"/>
      <c r="T122" s="522"/>
      <c r="U122" s="522"/>
      <c r="V122" s="522"/>
      <c r="W122" s="537"/>
      <c r="Y122" s="500"/>
      <c r="Z122" s="500"/>
      <c r="AA122" s="500"/>
      <c r="AB122" s="500"/>
      <c r="AC122" s="500"/>
      <c r="AD122" s="500"/>
      <c r="AE122" s="500"/>
      <c r="AF122" s="500"/>
      <c r="AG122" s="500"/>
      <c r="AH122" s="500"/>
      <c r="AI122" s="500"/>
      <c r="AJ122" s="500"/>
      <c r="AK122" s="500"/>
      <c r="AL122" s="500"/>
      <c r="AM122" s="500"/>
      <c r="AN122" s="500"/>
      <c r="AO122" s="500"/>
      <c r="AP122" s="500"/>
      <c r="AQ122" s="500"/>
      <c r="AR122" s="35">
        <v>0</v>
      </c>
    </row>
    <row r="123" s="35" customFormat="1" ht="17.25" hidden="1" customHeight="1" spans="1:44">
      <c r="A123" s="450"/>
      <c r="C123" s="216"/>
      <c r="D123" s="1262"/>
      <c r="E123" s="452"/>
      <c r="F123" s="455"/>
      <c r="G123" s="452"/>
      <c r="H123" s="503"/>
      <c r="I123" s="517"/>
      <c r="J123" s="449"/>
      <c r="K123" s="519"/>
      <c r="L123" s="519"/>
      <c r="M123" s="519"/>
      <c r="N123" s="521"/>
      <c r="O123" s="519"/>
      <c r="P123" s="519"/>
      <c r="Q123" s="522"/>
      <c r="R123" s="522"/>
      <c r="W123" s="537"/>
      <c r="Y123" s="499"/>
      <c r="Z123" s="499"/>
      <c r="AA123" s="499"/>
      <c r="AB123" s="499"/>
      <c r="AC123" s="499"/>
      <c r="AD123" s="499"/>
      <c r="AE123" s="499"/>
      <c r="AF123" s="499"/>
      <c r="AG123" s="499"/>
      <c r="AH123" s="499"/>
      <c r="AI123" s="499"/>
      <c r="AJ123" s="499"/>
      <c r="AK123" s="499"/>
      <c r="AL123" s="499"/>
      <c r="AM123" s="499"/>
      <c r="AN123" s="499"/>
      <c r="AO123" s="499"/>
      <c r="AP123" s="499"/>
      <c r="AQ123" s="499"/>
      <c r="AR123" s="35">
        <v>0</v>
      </c>
    </row>
    <row r="124" s="35" customFormat="1" ht="17.25" hidden="1" customHeight="1" spans="1:44">
      <c r="A124" s="450"/>
      <c r="D124" s="1262"/>
      <c r="E124" s="452"/>
      <c r="F124" s="455"/>
      <c r="G124" s="452"/>
      <c r="H124" s="503"/>
      <c r="I124" s="517"/>
      <c r="J124" s="449"/>
      <c r="K124" s="519"/>
      <c r="L124" s="522"/>
      <c r="M124" s="522"/>
      <c r="N124" s="522"/>
      <c r="O124" s="522"/>
      <c r="P124" s="522"/>
      <c r="Q124" s="522"/>
      <c r="R124" s="522"/>
      <c r="W124" s="537"/>
      <c r="Y124" s="500"/>
      <c r="Z124" s="500"/>
      <c r="AA124" s="500"/>
      <c r="AB124" s="500"/>
      <c r="AC124" s="500"/>
      <c r="AD124" s="500"/>
      <c r="AE124" s="500"/>
      <c r="AF124" s="500"/>
      <c r="AG124" s="500"/>
      <c r="AH124" s="500"/>
      <c r="AI124" s="500"/>
      <c r="AJ124" s="500"/>
      <c r="AK124" s="500"/>
      <c r="AL124" s="500"/>
      <c r="AM124" s="500"/>
      <c r="AN124" s="500"/>
      <c r="AO124" s="500"/>
      <c r="AP124" s="500"/>
      <c r="AQ124" s="500"/>
      <c r="AR124" s="35">
        <v>0</v>
      </c>
    </row>
    <row r="125" s="35" customFormat="1" ht="17.25" hidden="1" customHeight="1" spans="1:44">
      <c r="A125" s="450"/>
      <c r="D125" s="21"/>
      <c r="E125" s="456"/>
      <c r="F125" s="458"/>
      <c r="G125" s="456"/>
      <c r="H125" s="504"/>
      <c r="I125" s="523"/>
      <c r="J125" s="523"/>
      <c r="K125" s="523"/>
      <c r="L125" s="523"/>
      <c r="M125" s="523"/>
      <c r="N125" s="523"/>
      <c r="O125" s="523"/>
      <c r="P125" s="523"/>
      <c r="Q125" s="523"/>
      <c r="R125" s="523"/>
      <c r="S125" s="538"/>
      <c r="T125" s="538"/>
      <c r="U125" s="538"/>
      <c r="V125" s="538"/>
      <c r="W125" s="539"/>
      <c r="Y125" s="500"/>
      <c r="Z125" s="500"/>
      <c r="AA125" s="500"/>
      <c r="AB125" s="500"/>
      <c r="AC125" s="500"/>
      <c r="AD125" s="500"/>
      <c r="AE125" s="500"/>
      <c r="AF125" s="500"/>
      <c r="AG125" s="500"/>
      <c r="AH125" s="500"/>
      <c r="AI125" s="500"/>
      <c r="AJ125" s="500"/>
      <c r="AK125" s="500"/>
      <c r="AL125" s="500"/>
      <c r="AM125" s="500"/>
      <c r="AN125" s="500"/>
      <c r="AO125" s="500"/>
      <c r="AP125" s="500"/>
      <c r="AQ125" s="500"/>
      <c r="AR125" s="35">
        <v>0</v>
      </c>
    </row>
    <row r="126" s="35" customFormat="1" ht="17.25" hidden="1" customHeight="1" spans="1:44">
      <c r="A126" s="450"/>
      <c r="C126" s="216"/>
      <c r="D126" s="1262">
        <v>2</v>
      </c>
      <c r="E126" s="452" t="s">
        <v>274</v>
      </c>
      <c r="F126" s="453" t="s">
        <v>19</v>
      </c>
      <c r="G126" s="452"/>
      <c r="H126" s="502"/>
      <c r="I126" s="513"/>
      <c r="J126" s="514"/>
      <c r="K126" s="515"/>
      <c r="L126" s="515"/>
      <c r="M126" s="515"/>
      <c r="N126" s="516"/>
      <c r="O126" s="515"/>
      <c r="P126" s="515"/>
      <c r="Q126" s="515"/>
      <c r="R126" s="535"/>
      <c r="S126" s="515"/>
      <c r="T126" s="515"/>
      <c r="U126" s="515"/>
      <c r="V126" s="535"/>
      <c r="W126" s="536"/>
      <c r="X126" s="499"/>
      <c r="Y126" s="499"/>
      <c r="Z126" s="499"/>
      <c r="AA126" s="499"/>
      <c r="AB126" s="499"/>
      <c r="AC126" s="499" t="s">
        <v>275</v>
      </c>
      <c r="AD126" s="499" t="s">
        <v>276</v>
      </c>
      <c r="AE126" s="499" t="s">
        <v>277</v>
      </c>
      <c r="AF126" s="499" t="s">
        <v>278</v>
      </c>
      <c r="AG126" s="499"/>
      <c r="AH126" s="499" t="str">
        <f>IF($E$126=0,"",$E$126)</f>
        <v>Тариф на транспортировку сточных вод</v>
      </c>
      <c r="AI126" s="499" t="str">
        <f>IF($G$126=0,"",$G$126)</f>
        <v/>
      </c>
      <c r="AJ126" s="499" t="str">
        <f>IF($J$126=0,"",$J$126)</f>
        <v/>
      </c>
      <c r="AK126" s="499" t="str">
        <f>IF($K$126="нет","без дифференциации",IF($N$126=0,"",$N$126))</f>
        <v/>
      </c>
      <c r="AL126" s="499" t="str">
        <f>IF($O$126="нет","без дифференциации",IF($R$126=0,"",$R$126))</f>
        <v/>
      </c>
      <c r="AM126" s="499" t="str">
        <f>IF($S$126="нет","без дифференциации",IF($V$126=0,"",$V$126))</f>
        <v/>
      </c>
      <c r="AN126" s="1272">
        <f>$I$126</f>
        <v>0</v>
      </c>
      <c r="AO126" s="499" t="str">
        <f>$I$126&amp;"."&amp;$M$126</f>
        <v>.</v>
      </c>
      <c r="AP126" s="500" t="str">
        <f>$I$126&amp;"."&amp;$M$126&amp;"."&amp;$Q$126</f>
        <v>..</v>
      </c>
      <c r="AQ126" s="500" t="str">
        <f>$I$126&amp;"."&amp;$M$126&amp;"."&amp;$Q$126&amp;"."&amp;$U$126</f>
        <v>...</v>
      </c>
      <c r="AR126" s="35">
        <v>0</v>
      </c>
    </row>
    <row r="127" s="35" customFormat="1" ht="17.25" hidden="1" customHeight="1" spans="1:44">
      <c r="A127" s="450"/>
      <c r="D127" s="1262"/>
      <c r="E127" s="452"/>
      <c r="F127" s="455"/>
      <c r="G127" s="452"/>
      <c r="H127" s="503"/>
      <c r="I127" s="517"/>
      <c r="J127" s="518"/>
      <c r="K127" s="519"/>
      <c r="L127" s="519"/>
      <c r="M127" s="519"/>
      <c r="N127" s="520"/>
      <c r="O127" s="519"/>
      <c r="P127" s="519"/>
      <c r="Q127" s="519"/>
      <c r="R127" s="521"/>
      <c r="S127" s="519"/>
      <c r="T127" s="522"/>
      <c r="U127" s="522"/>
      <c r="V127" s="522"/>
      <c r="W127" s="537"/>
      <c r="X127" s="500"/>
      <c r="Y127" s="500"/>
      <c r="Z127" s="500"/>
      <c r="AA127" s="500"/>
      <c r="AB127" s="500"/>
      <c r="AC127" s="500"/>
      <c r="AD127" s="500"/>
      <c r="AE127" s="500"/>
      <c r="AF127" s="500"/>
      <c r="AG127" s="500"/>
      <c r="AH127" s="500"/>
      <c r="AI127" s="500"/>
      <c r="AJ127" s="500"/>
      <c r="AK127" s="500"/>
      <c r="AL127" s="500"/>
      <c r="AM127" s="500"/>
      <c r="AN127" s="500"/>
      <c r="AO127" s="500"/>
      <c r="AP127" s="500"/>
      <c r="AQ127" s="500"/>
      <c r="AR127" s="35">
        <v>0</v>
      </c>
    </row>
    <row r="128" s="35" customFormat="1" ht="17.25" hidden="1" customHeight="1" spans="1:44">
      <c r="A128" s="450"/>
      <c r="D128" s="21"/>
      <c r="E128" s="456"/>
      <c r="F128" s="455"/>
      <c r="G128" s="456"/>
      <c r="H128" s="503"/>
      <c r="I128" s="517"/>
      <c r="J128" s="449"/>
      <c r="K128" s="519"/>
      <c r="L128" s="519"/>
      <c r="M128" s="519"/>
      <c r="N128" s="521"/>
      <c r="O128" s="519"/>
      <c r="P128" s="519"/>
      <c r="Q128" s="522"/>
      <c r="R128" s="522"/>
      <c r="W128" s="537"/>
      <c r="X128" s="500"/>
      <c r="Y128" s="500"/>
      <c r="Z128" s="500"/>
      <c r="AA128" s="500"/>
      <c r="AB128" s="500"/>
      <c r="AC128" s="500"/>
      <c r="AD128" s="500"/>
      <c r="AE128" s="500"/>
      <c r="AF128" s="500"/>
      <c r="AG128" s="500"/>
      <c r="AH128" s="500"/>
      <c r="AI128" s="500"/>
      <c r="AJ128" s="500"/>
      <c r="AK128" s="500"/>
      <c r="AL128" s="500"/>
      <c r="AM128" s="500"/>
      <c r="AN128" s="500"/>
      <c r="AO128" s="500"/>
      <c r="AP128" s="500"/>
      <c r="AQ128" s="500"/>
      <c r="AR128" s="35">
        <v>0</v>
      </c>
    </row>
    <row r="129" s="35" customFormat="1" ht="17.25" hidden="1" customHeight="1" spans="1:44">
      <c r="A129" s="450"/>
      <c r="D129" s="21"/>
      <c r="E129" s="456"/>
      <c r="F129" s="455"/>
      <c r="G129" s="456"/>
      <c r="H129" s="503"/>
      <c r="I129" s="517"/>
      <c r="J129" s="449"/>
      <c r="K129" s="519"/>
      <c r="L129" s="522"/>
      <c r="M129" s="522"/>
      <c r="N129" s="522"/>
      <c r="O129" s="522"/>
      <c r="P129" s="522"/>
      <c r="Q129" s="522"/>
      <c r="R129" s="522"/>
      <c r="W129" s="537"/>
      <c r="X129" s="500"/>
      <c r="Y129" s="500"/>
      <c r="Z129" s="500"/>
      <c r="AA129" s="500"/>
      <c r="AB129" s="500"/>
      <c r="AC129" s="500"/>
      <c r="AD129" s="500"/>
      <c r="AE129" s="500"/>
      <c r="AF129" s="500"/>
      <c r="AG129" s="500"/>
      <c r="AH129" s="500"/>
      <c r="AI129" s="500"/>
      <c r="AJ129" s="500"/>
      <c r="AK129" s="500"/>
      <c r="AL129" s="500"/>
      <c r="AM129" s="500"/>
      <c r="AN129" s="500"/>
      <c r="AO129" s="500"/>
      <c r="AP129" s="500"/>
      <c r="AQ129" s="500"/>
      <c r="AR129" s="35">
        <v>0</v>
      </c>
    </row>
    <row r="130" s="35" customFormat="1" ht="17.25" hidden="1" customHeight="1" spans="1:44">
      <c r="A130" s="450"/>
      <c r="D130" s="21"/>
      <c r="E130" s="456"/>
      <c r="F130" s="458"/>
      <c r="G130" s="456"/>
      <c r="H130" s="504"/>
      <c r="I130" s="523"/>
      <c r="J130" s="523"/>
      <c r="K130" s="523"/>
      <c r="L130" s="523"/>
      <c r="M130" s="523"/>
      <c r="N130" s="523"/>
      <c r="O130" s="523"/>
      <c r="P130" s="523"/>
      <c r="Q130" s="523"/>
      <c r="R130" s="523"/>
      <c r="S130" s="538"/>
      <c r="T130" s="538"/>
      <c r="U130" s="538"/>
      <c r="V130" s="538"/>
      <c r="W130" s="539"/>
      <c r="X130" s="500"/>
      <c r="Y130" s="500"/>
      <c r="Z130" s="500"/>
      <c r="AA130" s="500"/>
      <c r="AB130" s="500"/>
      <c r="AC130" s="500"/>
      <c r="AD130" s="500"/>
      <c r="AE130" s="500"/>
      <c r="AF130" s="500"/>
      <c r="AG130" s="500"/>
      <c r="AH130" s="500"/>
      <c r="AI130" s="500"/>
      <c r="AJ130" s="500"/>
      <c r="AK130" s="500"/>
      <c r="AL130" s="500"/>
      <c r="AM130" s="500"/>
      <c r="AN130" s="500"/>
      <c r="AO130" s="500"/>
      <c r="AP130" s="500"/>
      <c r="AQ130" s="500"/>
      <c r="AR130" s="35">
        <v>0</v>
      </c>
    </row>
    <row r="131" s="35" customFormat="1" ht="17.25" hidden="1" customHeight="1" spans="1:44">
      <c r="A131" s="450"/>
      <c r="C131" s="216"/>
      <c r="D131" s="1262">
        <v>3</v>
      </c>
      <c r="E131" s="452" t="s">
        <v>279</v>
      </c>
      <c r="F131" s="453" t="s">
        <v>19</v>
      </c>
      <c r="G131" s="452"/>
      <c r="H131" s="502"/>
      <c r="I131" s="513"/>
      <c r="J131" s="514"/>
      <c r="K131" s="515"/>
      <c r="L131" s="515"/>
      <c r="M131" s="515"/>
      <c r="N131" s="516"/>
      <c r="O131" s="515"/>
      <c r="P131" s="515"/>
      <c r="Q131" s="515"/>
      <c r="R131" s="535"/>
      <c r="S131" s="515"/>
      <c r="T131" s="515"/>
      <c r="U131" s="515"/>
      <c r="V131" s="535"/>
      <c r="W131" s="536"/>
      <c r="X131" s="499"/>
      <c r="Y131" s="499"/>
      <c r="Z131" s="499"/>
      <c r="AA131" s="499"/>
      <c r="AB131" s="499"/>
      <c r="AC131" s="499" t="s">
        <v>280</v>
      </c>
      <c r="AD131" s="499" t="s">
        <v>281</v>
      </c>
      <c r="AE131" s="499" t="s">
        <v>282</v>
      </c>
      <c r="AF131" s="499" t="s">
        <v>283</v>
      </c>
      <c r="AG131" s="499"/>
      <c r="AH131" s="499" t="str">
        <f>IF($E$131=0,"",$E$131)</f>
        <v>Тариф на подключение (технологическое присоединение) к централизованной системе водоотведения</v>
      </c>
      <c r="AI131" s="499" t="str">
        <f>IF($G$131=0,"",$G$131)</f>
        <v/>
      </c>
      <c r="AJ131" s="499" t="str">
        <f>IF($J$131=0,"",$J$131)</f>
        <v/>
      </c>
      <c r="AK131" s="499" t="str">
        <f>IF($K$131="нет","без дифференциации",IF($N$131=0,"",$N$131))</f>
        <v/>
      </c>
      <c r="AL131" s="499" t="str">
        <f>IF($O$131="нет","без дифференциации",IF($R$131=0,"",$R$131))</f>
        <v/>
      </c>
      <c r="AM131" s="499" t="str">
        <f>IF($S$131="нет","без дифференциации",IF($V$131=0,"",$V$131))</f>
        <v/>
      </c>
      <c r="AN131" s="1272">
        <f>$I$131</f>
        <v>0</v>
      </c>
      <c r="AO131" s="499" t="str">
        <f>$I$131&amp;"."&amp;$M$131</f>
        <v>.</v>
      </c>
      <c r="AP131" s="500" t="str">
        <f>$I$131&amp;"."&amp;$M$131&amp;"."&amp;$Q$131</f>
        <v>..</v>
      </c>
      <c r="AQ131" s="500" t="str">
        <f>$I$131&amp;"."&amp;$M$131&amp;"."&amp;$Q$131&amp;"."&amp;$U$131</f>
        <v>...</v>
      </c>
      <c r="AR131" s="35">
        <v>0</v>
      </c>
    </row>
    <row r="132" s="35" customFormat="1" ht="17.25" hidden="1" customHeight="1" spans="1:44">
      <c r="A132" s="450"/>
      <c r="D132" s="1262"/>
      <c r="E132" s="452"/>
      <c r="F132" s="455"/>
      <c r="G132" s="452"/>
      <c r="H132" s="503"/>
      <c r="I132" s="517"/>
      <c r="J132" s="518"/>
      <c r="K132" s="519"/>
      <c r="L132" s="519"/>
      <c r="M132" s="519"/>
      <c r="N132" s="520"/>
      <c r="O132" s="519"/>
      <c r="P132" s="519"/>
      <c r="Q132" s="519"/>
      <c r="R132" s="521"/>
      <c r="S132" s="519"/>
      <c r="T132" s="522"/>
      <c r="U132" s="522"/>
      <c r="V132" s="522"/>
      <c r="W132" s="537"/>
      <c r="X132" s="500"/>
      <c r="Y132" s="500"/>
      <c r="Z132" s="500"/>
      <c r="AA132" s="500"/>
      <c r="AB132" s="500"/>
      <c r="AC132" s="500"/>
      <c r="AD132" s="500"/>
      <c r="AE132" s="500"/>
      <c r="AF132" s="500"/>
      <c r="AG132" s="500"/>
      <c r="AH132" s="500"/>
      <c r="AI132" s="500"/>
      <c r="AJ132" s="500"/>
      <c r="AK132" s="500"/>
      <c r="AL132" s="500"/>
      <c r="AM132" s="500"/>
      <c r="AN132" s="500"/>
      <c r="AO132" s="500"/>
      <c r="AP132" s="500"/>
      <c r="AQ132" s="500"/>
      <c r="AR132" s="35">
        <v>0</v>
      </c>
    </row>
    <row r="133" s="35" customFormat="1" ht="17.25" hidden="1" customHeight="1" spans="1:44">
      <c r="A133" s="450"/>
      <c r="D133" s="21"/>
      <c r="E133" s="456"/>
      <c r="F133" s="455"/>
      <c r="G133" s="456"/>
      <c r="H133" s="503"/>
      <c r="I133" s="517"/>
      <c r="J133" s="449"/>
      <c r="K133" s="519"/>
      <c r="L133" s="519"/>
      <c r="M133" s="519"/>
      <c r="N133" s="521"/>
      <c r="O133" s="519"/>
      <c r="P133" s="519"/>
      <c r="Q133" s="522"/>
      <c r="R133" s="522"/>
      <c r="W133" s="537"/>
      <c r="X133" s="500"/>
      <c r="Y133" s="500"/>
      <c r="Z133" s="500"/>
      <c r="AA133" s="500"/>
      <c r="AB133" s="500"/>
      <c r="AC133" s="500"/>
      <c r="AD133" s="500"/>
      <c r="AE133" s="500"/>
      <c r="AF133" s="500"/>
      <c r="AG133" s="500"/>
      <c r="AH133" s="500"/>
      <c r="AI133" s="500"/>
      <c r="AJ133" s="500"/>
      <c r="AK133" s="500"/>
      <c r="AL133" s="500"/>
      <c r="AM133" s="500"/>
      <c r="AN133" s="500"/>
      <c r="AO133" s="500"/>
      <c r="AP133" s="500"/>
      <c r="AQ133" s="500"/>
      <c r="AR133" s="35">
        <v>0</v>
      </c>
    </row>
    <row r="134" s="35" customFormat="1" ht="17.25" hidden="1" customHeight="1" spans="1:44">
      <c r="A134" s="450"/>
      <c r="D134" s="21"/>
      <c r="E134" s="456"/>
      <c r="F134" s="455"/>
      <c r="G134" s="456"/>
      <c r="H134" s="503"/>
      <c r="I134" s="517"/>
      <c r="J134" s="449"/>
      <c r="K134" s="519"/>
      <c r="L134" s="522"/>
      <c r="M134" s="522"/>
      <c r="N134" s="522"/>
      <c r="O134" s="522"/>
      <c r="P134" s="522"/>
      <c r="Q134" s="522"/>
      <c r="R134" s="522"/>
      <c r="W134" s="537"/>
      <c r="X134" s="500"/>
      <c r="Y134" s="500"/>
      <c r="Z134" s="500"/>
      <c r="AA134" s="500"/>
      <c r="AB134" s="500"/>
      <c r="AC134" s="500"/>
      <c r="AD134" s="500"/>
      <c r="AE134" s="500"/>
      <c r="AF134" s="500"/>
      <c r="AG134" s="500"/>
      <c r="AH134" s="500"/>
      <c r="AI134" s="500"/>
      <c r="AJ134" s="500"/>
      <c r="AK134" s="500"/>
      <c r="AL134" s="500"/>
      <c r="AM134" s="500"/>
      <c r="AN134" s="500"/>
      <c r="AO134" s="500"/>
      <c r="AP134" s="500"/>
      <c r="AQ134" s="500"/>
      <c r="AR134" s="35">
        <v>0</v>
      </c>
    </row>
    <row r="135" s="35" customFormat="1" ht="17.25" hidden="1" customHeight="1" spans="1:44">
      <c r="A135" s="450"/>
      <c r="D135" s="21"/>
      <c r="E135" s="456"/>
      <c r="F135" s="458"/>
      <c r="G135" s="456"/>
      <c r="H135" s="504"/>
      <c r="I135" s="523"/>
      <c r="J135" s="523"/>
      <c r="K135" s="523"/>
      <c r="L135" s="523"/>
      <c r="M135" s="523"/>
      <c r="N135" s="523"/>
      <c r="O135" s="523"/>
      <c r="P135" s="523"/>
      <c r="Q135" s="523"/>
      <c r="R135" s="523"/>
      <c r="S135" s="538"/>
      <c r="T135" s="538"/>
      <c r="U135" s="538"/>
      <c r="V135" s="538"/>
      <c r="W135" s="539"/>
      <c r="X135" s="500"/>
      <c r="Y135" s="500"/>
      <c r="Z135" s="500"/>
      <c r="AA135" s="500"/>
      <c r="AB135" s="500"/>
      <c r="AC135" s="500"/>
      <c r="AD135" s="500"/>
      <c r="AE135" s="500"/>
      <c r="AF135" s="500"/>
      <c r="AG135" s="500"/>
      <c r="AH135" s="500"/>
      <c r="AI135" s="500"/>
      <c r="AJ135" s="500"/>
      <c r="AK135" s="500"/>
      <c r="AL135" s="500"/>
      <c r="AM135" s="500"/>
      <c r="AN135" s="500"/>
      <c r="AO135" s="500"/>
      <c r="AP135" s="500"/>
      <c r="AQ135" s="500"/>
      <c r="AR135" s="35">
        <v>0</v>
      </c>
    </row>
    <row r="136" ht="11.55" customHeight="1" spans="44:44">
      <c r="AR136" s="35">
        <v>11</v>
      </c>
    </row>
    <row r="137" ht="11.55" customHeight="1" spans="44:44">
      <c r="AR137" s="35">
        <v>11</v>
      </c>
    </row>
    <row r="138" ht="11.55" customHeight="1" spans="44:44">
      <c r="AR138" s="35">
        <v>11</v>
      </c>
    </row>
    <row r="139" ht="11.55" customHeight="1" spans="44:44">
      <c r="AR139" s="35">
        <v>11</v>
      </c>
    </row>
    <row r="140" ht="11.55" customHeight="1" spans="44:44">
      <c r="AR140" s="35">
        <v>11</v>
      </c>
    </row>
    <row r="141" ht="11.55" customHeight="1" spans="44:44">
      <c r="AR141" s="35">
        <v>11</v>
      </c>
    </row>
    <row r="142" ht="11.55" customHeight="1" spans="44:44">
      <c r="AR142" s="35">
        <v>11</v>
      </c>
    </row>
    <row r="143" ht="11.55" customHeight="1" spans="44:44">
      <c r="AR143" s="35">
        <v>11</v>
      </c>
    </row>
    <row r="144" ht="11.55" customHeight="1" spans="44:44">
      <c r="AR144" s="35">
        <v>11</v>
      </c>
    </row>
    <row r="145" ht="11.55" customHeight="1" spans="44:44">
      <c r="AR145" s="35">
        <v>11</v>
      </c>
    </row>
    <row r="146" hidden="1" customHeight="1" spans="1:44">
      <c r="A146" s="150" t="s">
        <v>83</v>
      </c>
      <c r="B146" s="150">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500">
        <v>0</v>
      </c>
      <c r="Z146" s="500">
        <v>0</v>
      </c>
      <c r="AA146" s="500">
        <v>0</v>
      </c>
      <c r="AB146" s="500">
        <v>0</v>
      </c>
      <c r="AC146" s="500">
        <v>0</v>
      </c>
      <c r="AD146" s="500">
        <v>0</v>
      </c>
      <c r="AE146" s="500">
        <v>0</v>
      </c>
      <c r="AF146" s="500">
        <v>0</v>
      </c>
      <c r="AG146" s="500">
        <v>0</v>
      </c>
      <c r="AH146" s="500">
        <v>0</v>
      </c>
      <c r="AI146" s="500">
        <v>0</v>
      </c>
      <c r="AJ146" s="500">
        <v>0</v>
      </c>
      <c r="AK146" s="500">
        <v>0</v>
      </c>
      <c r="AL146" s="500">
        <v>0</v>
      </c>
      <c r="AM146" s="500">
        <v>0</v>
      </c>
      <c r="AN146" s="500">
        <v>0</v>
      </c>
      <c r="AO146" s="500">
        <v>0</v>
      </c>
      <c r="AP146" s="500">
        <v>0</v>
      </c>
      <c r="AQ146" s="500">
        <v>0</v>
      </c>
      <c r="AR146" s="35">
        <v>11</v>
      </c>
    </row>
  </sheetData>
  <sheetProtection formatColumns="0" formatRows="0" insertRows="0" deleteColumns="0" deleteRows="0" sort="0" autoFilter="0"/>
  <mergeCells count="380">
    <mergeCell ref="D5:J5"/>
    <mergeCell ref="D6:J6"/>
    <mergeCell ref="D7:J7"/>
    <mergeCell ref="E9:F9"/>
    <mergeCell ref="K9:N9"/>
    <mergeCell ref="O9:R9"/>
    <mergeCell ref="S9:V9"/>
    <mergeCell ref="L10:M10"/>
    <mergeCell ref="P10:Q10"/>
    <mergeCell ref="T10:U10"/>
    <mergeCell ref="H11:I11"/>
    <mergeCell ref="L11:M11"/>
    <mergeCell ref="P11:Q11"/>
    <mergeCell ref="T11:U11"/>
    <mergeCell ref="E69:W69"/>
    <mergeCell ref="E70:W70"/>
    <mergeCell ref="E71:W71"/>
    <mergeCell ref="E72:W72"/>
    <mergeCell ref="E73:W73"/>
    <mergeCell ref="E75:W75"/>
    <mergeCell ref="E76:W76"/>
    <mergeCell ref="E77:W77"/>
    <mergeCell ref="D9:D10"/>
    <mergeCell ref="D13:D17"/>
    <mergeCell ref="D18:D22"/>
    <mergeCell ref="D23:D27"/>
    <mergeCell ref="D28:D32"/>
    <mergeCell ref="D33:D37"/>
    <mergeCell ref="D38:D42"/>
    <mergeCell ref="D43:D47"/>
    <mergeCell ref="D48:D52"/>
    <mergeCell ref="D53:D57"/>
    <mergeCell ref="D58:D62"/>
    <mergeCell ref="D63:D67"/>
    <mergeCell ref="D79:D83"/>
    <mergeCell ref="D84:D88"/>
    <mergeCell ref="D89:D93"/>
    <mergeCell ref="D94:D98"/>
    <mergeCell ref="D99:D103"/>
    <mergeCell ref="D105:D109"/>
    <mergeCell ref="D110:D114"/>
    <mergeCell ref="D115:D119"/>
    <mergeCell ref="D121:D125"/>
    <mergeCell ref="D126:D130"/>
    <mergeCell ref="D131:D135"/>
    <mergeCell ref="E13:E17"/>
    <mergeCell ref="E18:E22"/>
    <mergeCell ref="E23:E27"/>
    <mergeCell ref="E28:E32"/>
    <mergeCell ref="E33:E37"/>
    <mergeCell ref="E38:E42"/>
    <mergeCell ref="E43:E47"/>
    <mergeCell ref="E48:E52"/>
    <mergeCell ref="E53:E57"/>
    <mergeCell ref="E58:E62"/>
    <mergeCell ref="E63:E67"/>
    <mergeCell ref="E79:E83"/>
    <mergeCell ref="E84:E88"/>
    <mergeCell ref="E89:E93"/>
    <mergeCell ref="E94:E98"/>
    <mergeCell ref="E99:E103"/>
    <mergeCell ref="E105:E109"/>
    <mergeCell ref="E110:E114"/>
    <mergeCell ref="E115:E119"/>
    <mergeCell ref="E121:E125"/>
    <mergeCell ref="E126:E130"/>
    <mergeCell ref="E131:E135"/>
    <mergeCell ref="F13:F17"/>
    <mergeCell ref="F18:F22"/>
    <mergeCell ref="F23:F27"/>
    <mergeCell ref="F28:F32"/>
    <mergeCell ref="F33:F37"/>
    <mergeCell ref="F38:F42"/>
    <mergeCell ref="F43:F47"/>
    <mergeCell ref="F48:F52"/>
    <mergeCell ref="F53:F57"/>
    <mergeCell ref="F58:F62"/>
    <mergeCell ref="F63:F67"/>
    <mergeCell ref="F79:F83"/>
    <mergeCell ref="F84:F88"/>
    <mergeCell ref="F89:F93"/>
    <mergeCell ref="F94:F98"/>
    <mergeCell ref="F99:F103"/>
    <mergeCell ref="F105:F109"/>
    <mergeCell ref="F110:F114"/>
    <mergeCell ref="F115:F119"/>
    <mergeCell ref="F121:F125"/>
    <mergeCell ref="F126:F130"/>
    <mergeCell ref="F131:F135"/>
    <mergeCell ref="G9:G10"/>
    <mergeCell ref="G13:G17"/>
    <mergeCell ref="G18:G22"/>
    <mergeCell ref="G23:G27"/>
    <mergeCell ref="G28:G32"/>
    <mergeCell ref="G33:G37"/>
    <mergeCell ref="G38:G42"/>
    <mergeCell ref="G43:G47"/>
    <mergeCell ref="G48:G52"/>
    <mergeCell ref="G53:G57"/>
    <mergeCell ref="G58:G62"/>
    <mergeCell ref="G63:G67"/>
    <mergeCell ref="G79:G83"/>
    <mergeCell ref="G84:G88"/>
    <mergeCell ref="G89:G93"/>
    <mergeCell ref="G94:G98"/>
    <mergeCell ref="G99:G103"/>
    <mergeCell ref="G105:G109"/>
    <mergeCell ref="G110:G114"/>
    <mergeCell ref="G115:G119"/>
    <mergeCell ref="G121:G125"/>
    <mergeCell ref="G126:G130"/>
    <mergeCell ref="G131:G135"/>
    <mergeCell ref="H13:H16"/>
    <mergeCell ref="H18:H21"/>
    <mergeCell ref="H23:H26"/>
    <mergeCell ref="H28:H31"/>
    <mergeCell ref="H33:H36"/>
    <mergeCell ref="H38:H41"/>
    <mergeCell ref="H43:H46"/>
    <mergeCell ref="H48:H51"/>
    <mergeCell ref="H53:H56"/>
    <mergeCell ref="H58:H61"/>
    <mergeCell ref="H63:H66"/>
    <mergeCell ref="H79:H82"/>
    <mergeCell ref="H84:H87"/>
    <mergeCell ref="H89:H92"/>
    <mergeCell ref="H94:H97"/>
    <mergeCell ref="H99:H102"/>
    <mergeCell ref="H105:H108"/>
    <mergeCell ref="H110:H113"/>
    <mergeCell ref="H115:H118"/>
    <mergeCell ref="H121:H124"/>
    <mergeCell ref="H126:H129"/>
    <mergeCell ref="H131:H134"/>
    <mergeCell ref="I13:I16"/>
    <mergeCell ref="I18:I21"/>
    <mergeCell ref="I23:I26"/>
    <mergeCell ref="I28:I31"/>
    <mergeCell ref="I33:I36"/>
    <mergeCell ref="I38:I41"/>
    <mergeCell ref="I43:I46"/>
    <mergeCell ref="I48:I51"/>
    <mergeCell ref="I53:I56"/>
    <mergeCell ref="I58:I61"/>
    <mergeCell ref="I63:I66"/>
    <mergeCell ref="I79:I82"/>
    <mergeCell ref="I84:I87"/>
    <mergeCell ref="I89:I92"/>
    <mergeCell ref="I94:I97"/>
    <mergeCell ref="I99:I102"/>
    <mergeCell ref="I105:I108"/>
    <mergeCell ref="I110:I113"/>
    <mergeCell ref="I115:I118"/>
    <mergeCell ref="I121:I124"/>
    <mergeCell ref="I126:I129"/>
    <mergeCell ref="I131:I134"/>
    <mergeCell ref="J9:J10"/>
    <mergeCell ref="J13:J16"/>
    <mergeCell ref="J18:J21"/>
    <mergeCell ref="J23:J26"/>
    <mergeCell ref="J28:J31"/>
    <mergeCell ref="J33:J36"/>
    <mergeCell ref="J38:J41"/>
    <mergeCell ref="J43:J46"/>
    <mergeCell ref="J48:J51"/>
    <mergeCell ref="J53:J56"/>
    <mergeCell ref="J58:J61"/>
    <mergeCell ref="J63:J66"/>
    <mergeCell ref="J79:J82"/>
    <mergeCell ref="J84:J87"/>
    <mergeCell ref="J89:J92"/>
    <mergeCell ref="J94:J97"/>
    <mergeCell ref="J99:J102"/>
    <mergeCell ref="J105:J108"/>
    <mergeCell ref="J110:J113"/>
    <mergeCell ref="J115:J118"/>
    <mergeCell ref="J121:J124"/>
    <mergeCell ref="J126:J129"/>
    <mergeCell ref="J131:J134"/>
    <mergeCell ref="K13:K16"/>
    <mergeCell ref="K18:K21"/>
    <mergeCell ref="K23:K26"/>
    <mergeCell ref="K28:K31"/>
    <mergeCell ref="K33:K36"/>
    <mergeCell ref="K38:K41"/>
    <mergeCell ref="K43:K46"/>
    <mergeCell ref="K48:K51"/>
    <mergeCell ref="K53:K56"/>
    <mergeCell ref="K58:K61"/>
    <mergeCell ref="K63:K66"/>
    <mergeCell ref="K79:K82"/>
    <mergeCell ref="K84:K87"/>
    <mergeCell ref="K89:K92"/>
    <mergeCell ref="K94:K97"/>
    <mergeCell ref="K99:K102"/>
    <mergeCell ref="K105:K108"/>
    <mergeCell ref="K110:K113"/>
    <mergeCell ref="K115:K118"/>
    <mergeCell ref="K121:K124"/>
    <mergeCell ref="K126:K129"/>
    <mergeCell ref="K131:K134"/>
    <mergeCell ref="L13:L15"/>
    <mergeCell ref="L18:L20"/>
    <mergeCell ref="L23:L25"/>
    <mergeCell ref="L28:L30"/>
    <mergeCell ref="L33:L35"/>
    <mergeCell ref="L38:L40"/>
    <mergeCell ref="L43:L45"/>
    <mergeCell ref="L48:L50"/>
    <mergeCell ref="L53:L55"/>
    <mergeCell ref="L58:L60"/>
    <mergeCell ref="L63:L65"/>
    <mergeCell ref="L79:L81"/>
    <mergeCell ref="L84:L86"/>
    <mergeCell ref="L89:L91"/>
    <mergeCell ref="L94:L96"/>
    <mergeCell ref="L99:L101"/>
    <mergeCell ref="L105:L107"/>
    <mergeCell ref="L110:L112"/>
    <mergeCell ref="L115:L117"/>
    <mergeCell ref="L121:L123"/>
    <mergeCell ref="L126:L128"/>
    <mergeCell ref="L131:L133"/>
    <mergeCell ref="M13:M15"/>
    <mergeCell ref="M18:M20"/>
    <mergeCell ref="M23:M25"/>
    <mergeCell ref="M28:M30"/>
    <mergeCell ref="M33:M35"/>
    <mergeCell ref="M38:M40"/>
    <mergeCell ref="M43:M45"/>
    <mergeCell ref="M48:M50"/>
    <mergeCell ref="M53:M55"/>
    <mergeCell ref="M58:M60"/>
    <mergeCell ref="M63:M65"/>
    <mergeCell ref="M79:M81"/>
    <mergeCell ref="M84:M86"/>
    <mergeCell ref="M89:M91"/>
    <mergeCell ref="M94:M96"/>
    <mergeCell ref="M99:M101"/>
    <mergeCell ref="M105:M107"/>
    <mergeCell ref="M110:M112"/>
    <mergeCell ref="M115:M117"/>
    <mergeCell ref="M121:M123"/>
    <mergeCell ref="M126:M128"/>
    <mergeCell ref="M131:M133"/>
    <mergeCell ref="N13:N15"/>
    <mergeCell ref="N18:N20"/>
    <mergeCell ref="N23:N25"/>
    <mergeCell ref="N28:N30"/>
    <mergeCell ref="N33:N35"/>
    <mergeCell ref="N38:N40"/>
    <mergeCell ref="N43:N45"/>
    <mergeCell ref="N48:N50"/>
    <mergeCell ref="N53:N55"/>
    <mergeCell ref="N58:N60"/>
    <mergeCell ref="N63:N65"/>
    <mergeCell ref="N79:N81"/>
    <mergeCell ref="N84:N86"/>
    <mergeCell ref="N89:N91"/>
    <mergeCell ref="N94:N96"/>
    <mergeCell ref="N99:N101"/>
    <mergeCell ref="N105:N107"/>
    <mergeCell ref="N110:N112"/>
    <mergeCell ref="N115:N117"/>
    <mergeCell ref="N121:N123"/>
    <mergeCell ref="N126:N128"/>
    <mergeCell ref="N131:N133"/>
    <mergeCell ref="O13:O15"/>
    <mergeCell ref="O18:O20"/>
    <mergeCell ref="O23:O25"/>
    <mergeCell ref="O28:O30"/>
    <mergeCell ref="O33:O35"/>
    <mergeCell ref="O38:O40"/>
    <mergeCell ref="O43:O45"/>
    <mergeCell ref="O48:O50"/>
    <mergeCell ref="O53:O55"/>
    <mergeCell ref="O58:O60"/>
    <mergeCell ref="O63:O65"/>
    <mergeCell ref="O79:O81"/>
    <mergeCell ref="O84:O86"/>
    <mergeCell ref="O89:O91"/>
    <mergeCell ref="O94:O96"/>
    <mergeCell ref="O99:O101"/>
    <mergeCell ref="O105:O107"/>
    <mergeCell ref="O110:O112"/>
    <mergeCell ref="O115:O117"/>
    <mergeCell ref="O121:O123"/>
    <mergeCell ref="O126:O128"/>
    <mergeCell ref="O131:O133"/>
    <mergeCell ref="P13:P14"/>
    <mergeCell ref="P18:P19"/>
    <mergeCell ref="P23:P24"/>
    <mergeCell ref="P28:P29"/>
    <mergeCell ref="P33:P34"/>
    <mergeCell ref="P38:P39"/>
    <mergeCell ref="P43:P44"/>
    <mergeCell ref="P48:P49"/>
    <mergeCell ref="P53:P54"/>
    <mergeCell ref="P58:P59"/>
    <mergeCell ref="P63:P64"/>
    <mergeCell ref="P79:P80"/>
    <mergeCell ref="P84:P85"/>
    <mergeCell ref="P89:P90"/>
    <mergeCell ref="P94:P95"/>
    <mergeCell ref="P99:P100"/>
    <mergeCell ref="P105:P106"/>
    <mergeCell ref="P110:P111"/>
    <mergeCell ref="P115:P116"/>
    <mergeCell ref="P121:P122"/>
    <mergeCell ref="P126:P127"/>
    <mergeCell ref="P131:P132"/>
    <mergeCell ref="Q13:Q14"/>
    <mergeCell ref="Q18:Q19"/>
    <mergeCell ref="Q23:Q24"/>
    <mergeCell ref="Q28:Q29"/>
    <mergeCell ref="Q33:Q34"/>
    <mergeCell ref="Q38:Q39"/>
    <mergeCell ref="Q43:Q44"/>
    <mergeCell ref="Q48:Q49"/>
    <mergeCell ref="Q53:Q54"/>
    <mergeCell ref="Q58:Q59"/>
    <mergeCell ref="Q63:Q64"/>
    <mergeCell ref="Q79:Q80"/>
    <mergeCell ref="Q84:Q85"/>
    <mergeCell ref="Q89:Q90"/>
    <mergeCell ref="Q94:Q95"/>
    <mergeCell ref="Q99:Q100"/>
    <mergeCell ref="Q105:Q106"/>
    <mergeCell ref="Q110:Q111"/>
    <mergeCell ref="Q115:Q116"/>
    <mergeCell ref="Q121:Q122"/>
    <mergeCell ref="Q126:Q127"/>
    <mergeCell ref="Q131:Q132"/>
    <mergeCell ref="R13:R14"/>
    <mergeCell ref="R18:R19"/>
    <mergeCell ref="R23:R24"/>
    <mergeCell ref="R28:R29"/>
    <mergeCell ref="R33:R34"/>
    <mergeCell ref="R38:R39"/>
    <mergeCell ref="R43:R44"/>
    <mergeCell ref="R48:R49"/>
    <mergeCell ref="R53:R54"/>
    <mergeCell ref="R58:R59"/>
    <mergeCell ref="R63:R64"/>
    <mergeCell ref="R79:R80"/>
    <mergeCell ref="R84:R85"/>
    <mergeCell ref="R89:R90"/>
    <mergeCell ref="R94:R95"/>
    <mergeCell ref="R99:R100"/>
    <mergeCell ref="R105:R106"/>
    <mergeCell ref="R110:R111"/>
    <mergeCell ref="R115:R116"/>
    <mergeCell ref="R121:R122"/>
    <mergeCell ref="R126:R127"/>
    <mergeCell ref="R131:R132"/>
    <mergeCell ref="S13:S14"/>
    <mergeCell ref="S18:S19"/>
    <mergeCell ref="S23:S24"/>
    <mergeCell ref="S28:S29"/>
    <mergeCell ref="S33:S34"/>
    <mergeCell ref="S38:S39"/>
    <mergeCell ref="S43:S44"/>
    <mergeCell ref="S48:S49"/>
    <mergeCell ref="S53:S54"/>
    <mergeCell ref="S58:S59"/>
    <mergeCell ref="S63:S64"/>
    <mergeCell ref="S79:S80"/>
    <mergeCell ref="S84:S85"/>
    <mergeCell ref="S89:S90"/>
    <mergeCell ref="S94:S95"/>
    <mergeCell ref="S99:S100"/>
    <mergeCell ref="S105:S106"/>
    <mergeCell ref="S110:S111"/>
    <mergeCell ref="S115:S116"/>
    <mergeCell ref="S121:S122"/>
    <mergeCell ref="S126:S127"/>
    <mergeCell ref="S131:S132"/>
    <mergeCell ref="W9:W10"/>
    <mergeCell ref="W99:W100"/>
    <mergeCell ref="H9:I10"/>
  </mergeCells>
  <dataValidations count="6">
    <dataValidation type="textLength" operator="lessThanOrEqual" allowBlank="1" showInputMessage="1" showErrorMessage="1" errorTitle="Ошибка" error="Допускается ввод не более 900 символов!" sqref="V13:W13 V18:W18 V23:W23 V28:W28 V33:W33 V38:W38 V43:W43 V48:W48 V53:W53 V58:W58 V63:W63 V79:W79 V84:W84 V89:W89 V94:W94 J99 R99 V99 W99 J100 R100 V105:W105 V110:W110 V115:W115 V121:W121 V126:W126 V131:W131 J13:J14 J18:J19 J23:J24 J28:J29 J33:J34 J38:J39 J43:J44 J48:J49 J53:J54 J58:J59 J63:J64 J79:J80 J84:J85 J89:J90 J94:J95 J105:J106 J110:J111 J115:J116 J121:J122 J126:J127 J131:J132 R13:R14 R18:R19 R23:R24 R28:R29 R33:R34 R38:R39 R43:R44 R48:R49 R53:R54 R58:R59 R63:R64 R79:R80 R84:R85 R89:R90 R94:R95 R105:R106 R110:R111 R115:R116 R121:R122 R126:R127 R131:R132">
      <formula1>900</formula1>
    </dataValidation>
    <dataValidation allowBlank="1" showInputMessage="1" showErrorMessage="1" prompt="Для выбора выполните двойной щелчок левой клавиши мыши по соответствующей ячейке." sqref="K99 O99 S99 S100 F13:F67 F79:F103 F105:F119 F121:F135 K13:K14 K18:K19 K23:K24 K28:K29 K33:K34 K38:K39 K43:K44 K48:K49 K53:K54 K58:K59 K63:K64 K79:K80 K84:K85 K89:K90 K94:K95 K105:K106 K110:K111 K115:K116 K121:K122 K126:K127 K131:K132 O13:O14 O18:O19 O23:O24 O28:O29 O33:O34 O38:O39 O43:O44 O48:O49 O53:O54 O58:O59 O63:O64 O79:O80 O84:O85 O89:O90 O94:O95 O105:O106 O110:O111 O115:O116 O121:O122 O126:O127 O131:O132 S13:S14 S18:S19 S23:S24 S28:S29 S33:S34 S38:S39 S43:S44 S48:S49 S53:S54 S58:S59 S63:S64 S79:S80 S84:S85 S89:S90 S94:S95 S105:S106 S110:S111 S115:S116 S121:S122 S126:S127 S131:S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N100 N101"/>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3:G67 G79:G103 G105:G119 G121:G13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N15 N18:N20 N23:N25 N28:N30 N33:N35 N38:N40 N43:N45 N48:N50 N53:N55 N58:N60 N63:N65 N79:N81 N84:N86 N89:N91 N94:N96 N105:N107 N110:N112 N115:N117 N121:N123 N126:N128 N131:N133">
      <formula1>DESCRIPTION_TERRITORY</formula1>
    </dataValidation>
  </dataValidations>
  <pageMargins left="0.7" right="0.7" top="0.75" bottom="0.75" header="0.3" footer="0.3"/>
  <pageSetup paperSize="9" orientation="portrait"/>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1"/>
  </sheetPr>
  <dimension ref="A1:V30"/>
  <sheetViews>
    <sheetView showGridLines="0" zoomScale="90" zoomScaleNormal="90" workbookViewId="0">
      <pane xSplit="8" ySplit="18" topLeftCell="I19" activePane="bottomRight" state="frozen"/>
      <selection/>
      <selection pane="topRight"/>
      <selection pane="bottomLeft"/>
      <selection pane="bottomRight" activeCell="A1" sqref="A1"/>
    </sheetView>
  </sheetViews>
  <sheetFormatPr defaultColWidth="10.5714285714286" defaultRowHeight="15" customHeight="1"/>
  <cols>
    <col min="1" max="1" width="9.14285714285714" style="572" hidden="1" customWidth="1"/>
    <col min="2" max="2" width="9.14285714285714" style="42" hidden="1" customWidth="1"/>
    <col min="3" max="3" width="4" style="234" customWidth="1"/>
    <col min="4" max="4" width="6" style="42" customWidth="1"/>
    <col min="5" max="5" width="47" style="42" customWidth="1"/>
    <col min="6" max="6" width="9" style="42" customWidth="1"/>
    <col min="7" max="7" width="25.7142857142857" style="42" hidden="1" customWidth="1"/>
    <col min="8" max="8" width="34" style="42" hidden="1" customWidth="1"/>
    <col min="9" max="9" width="25.7142857142857" style="42" customWidth="1"/>
    <col min="10" max="10" width="33" style="42" customWidth="1"/>
    <col min="11" max="11" width="50" style="37" customWidth="1"/>
    <col min="12" max="20" width="10" style="42" customWidth="1"/>
    <col min="21" max="21" width="10" style="749" customWidth="1"/>
    <col min="22" max="22" width="10.5714285714286" style="42" hidden="1"/>
  </cols>
  <sheetData>
    <row r="1" s="37" customFormat="1" ht="22.5" hidden="1" customHeight="1" spans="3:22">
      <c r="C1" s="47"/>
      <c r="G1" s="37">
        <v>4</v>
      </c>
      <c r="I1" s="37">
        <v>4</v>
      </c>
      <c r="U1" s="287"/>
      <c r="V1" s="37" t="s">
        <v>14</v>
      </c>
    </row>
    <row r="2" s="42" customFormat="1" hidden="1" customHeight="1" spans="1:22">
      <c r="A2" s="572"/>
      <c r="C2" s="234"/>
      <c r="D2" s="519"/>
      <c r="E2" s="518"/>
      <c r="F2" s="85"/>
      <c r="G2" s="591"/>
      <c r="H2" s="591"/>
      <c r="I2" s="591"/>
      <c r="J2" s="591"/>
      <c r="U2" s="749"/>
      <c r="V2" s="42">
        <v>0</v>
      </c>
    </row>
    <row r="3" s="37" customFormat="1" hidden="1" customHeight="1" spans="3:22">
      <c r="C3" s="47"/>
      <c r="U3" s="287"/>
      <c r="V3" s="37">
        <v>0</v>
      </c>
    </row>
    <row r="4" ht="15.75" customHeight="1" spans="22:22">
      <c r="V4" s="42">
        <v>15</v>
      </c>
    </row>
    <row r="5" ht="66" customHeight="1" spans="4:22">
      <c r="D5" s="750" t="s">
        <v>1177</v>
      </c>
      <c r="E5" s="750"/>
      <c r="F5" s="750"/>
      <c r="G5" s="750"/>
      <c r="H5" s="750"/>
      <c r="I5" s="750"/>
      <c r="J5" s="750"/>
      <c r="V5" s="42">
        <v>63</v>
      </c>
    </row>
    <row r="6" ht="15.75" customHeight="1" spans="4:22">
      <c r="D6" s="657" t="str">
        <f>IF(org=0,"Не определено",org)</f>
        <v>АО "ОЭЗ ППТ "Алабуга"</v>
      </c>
      <c r="E6" s="657"/>
      <c r="F6" s="657"/>
      <c r="G6" s="657"/>
      <c r="H6" s="657"/>
      <c r="I6" s="657"/>
      <c r="J6" s="657"/>
      <c r="V6" s="42">
        <v>15</v>
      </c>
    </row>
    <row r="7" ht="15.75" customHeight="1" spans="4:22">
      <c r="D7" s="574"/>
      <c r="G7" s="37">
        <v>22</v>
      </c>
      <c r="I7" s="37">
        <v>1</v>
      </c>
      <c r="J7" s="574"/>
      <c r="V7" s="42">
        <v>15</v>
      </c>
    </row>
    <row r="8" s="42" customFormat="1" ht="1.05" customHeight="1" spans="1:22">
      <c r="A8" s="572"/>
      <c r="C8" s="234"/>
      <c r="G8" s="37"/>
      <c r="H8" s="574"/>
      <c r="I8" s="37" t="s">
        <v>119</v>
      </c>
      <c r="J8" s="574"/>
      <c r="K8" s="37"/>
      <c r="U8" s="749"/>
      <c r="V8" s="42">
        <v>1</v>
      </c>
    </row>
    <row r="9" ht="15.75" customHeight="1" spans="4:22">
      <c r="D9" s="751"/>
      <c r="E9" s="752" t="s">
        <v>107</v>
      </c>
      <c r="F9" s="753"/>
      <c r="G9" s="754" t="str">
        <f>IF(G8="","",INDEX(DIFFERENTIATION_UNMERGE_VD,MATCH(G8,DIFFERENTIATION_ID_DIFF,0)))</f>
        <v/>
      </c>
      <c r="H9" s="755"/>
      <c r="I9" s="754">
        <f>IF(I8="","",INDEX(DIFFERENTIATION_UNMERGE_VD,MATCH(I8,DIFFERENTIATION_ID_DIFF,0)))</f>
        <v>0</v>
      </c>
      <c r="J9" s="755"/>
      <c r="K9" s="70" t="s">
        <v>306</v>
      </c>
      <c r="V9" s="42">
        <v>15</v>
      </c>
    </row>
    <row r="10" s="42" customFormat="1" ht="15.75" customHeight="1" spans="1:22">
      <c r="A10" s="572"/>
      <c r="C10" s="234"/>
      <c r="D10" s="751"/>
      <c r="E10" s="752" t="s">
        <v>574</v>
      </c>
      <c r="F10" s="753"/>
      <c r="G10" s="754" t="str">
        <f>IF(G8="","",INDEX(DIFFERENTIATION_UNMERGE_AREA,MATCH(G8,DIFFERENTIATION_ID_DIFF,0)))</f>
        <v/>
      </c>
      <c r="H10" s="755"/>
      <c r="I10" s="754" t="str">
        <f>IF(I8="","",INDEX(DIFFERENTIATION_UNMERGE_AREA,MATCH(I8,DIFFERENTIATION_ID_DIFF,0)))</f>
        <v/>
      </c>
      <c r="J10" s="755"/>
      <c r="K10" s="397"/>
      <c r="U10" s="749"/>
      <c r="V10" s="42">
        <v>15</v>
      </c>
    </row>
    <row r="11" s="42" customFormat="1" ht="15.75" customHeight="1" spans="1:22">
      <c r="A11" s="572"/>
      <c r="C11" s="234"/>
      <c r="D11" s="751"/>
      <c r="E11" s="752" t="s">
        <v>575</v>
      </c>
      <c r="F11" s="753"/>
      <c r="G11" s="754" t="str">
        <f>IF(G8="","",INDEX(DIFFERENTIATION_UNMERGE_SYSTEM,MATCH(G8,DIFFERENTIATION_ID_DIFF,0)))</f>
        <v/>
      </c>
      <c r="H11" s="755"/>
      <c r="I11" s="754" t="str">
        <f>IF(I8="","",INDEX(DIFFERENTIATION_UNMERGE_SYSTEM,MATCH(I8,DIFFERENTIATION_ID_DIFF,0)))</f>
        <v>без дифференциации</v>
      </c>
      <c r="J11" s="755"/>
      <c r="K11" s="397"/>
      <c r="U11" s="749"/>
      <c r="V11" s="42">
        <v>15</v>
      </c>
    </row>
    <row r="12" s="42" customFormat="1" ht="15.75" customHeight="1" spans="1:22">
      <c r="A12" s="572"/>
      <c r="C12" s="234"/>
      <c r="D12" s="756" t="s">
        <v>305</v>
      </c>
      <c r="E12" s="757"/>
      <c r="F12" s="757"/>
      <c r="G12" s="752"/>
      <c r="H12" s="752"/>
      <c r="I12" s="752"/>
      <c r="J12" s="752"/>
      <c r="K12" s="397"/>
      <c r="U12" s="749"/>
      <c r="V12" s="42">
        <v>15</v>
      </c>
    </row>
    <row r="13" ht="35.7" customHeight="1" spans="4:22">
      <c r="D13" s="63" t="s">
        <v>89</v>
      </c>
      <c r="E13" s="63" t="s">
        <v>307</v>
      </c>
      <c r="F13" s="63" t="s">
        <v>576</v>
      </c>
      <c r="G13" s="125" t="s">
        <v>308</v>
      </c>
      <c r="H13" s="63" t="s">
        <v>395</v>
      </c>
      <c r="I13" s="125" t="s">
        <v>308</v>
      </c>
      <c r="J13" s="63" t="s">
        <v>395</v>
      </c>
      <c r="K13" s="72"/>
      <c r="V13" s="42">
        <v>34</v>
      </c>
    </row>
    <row r="14" hidden="1" customHeight="1" spans="4:22">
      <c r="D14" s="758" t="s">
        <v>111</v>
      </c>
      <c r="E14" s="758" t="s">
        <v>112</v>
      </c>
      <c r="F14" s="758" t="s">
        <v>91</v>
      </c>
      <c r="G14" s="234" t="str">
        <f>G1&amp;".1"</f>
        <v>4.1</v>
      </c>
      <c r="H14" s="234"/>
      <c r="I14" s="234" t="str">
        <f>I1&amp;".1"</f>
        <v>4.1</v>
      </c>
      <c r="J14" s="234"/>
      <c r="K14" s="82"/>
      <c r="V14" s="42">
        <v>0</v>
      </c>
    </row>
    <row r="15" ht="22.5" hidden="1" customHeight="1" spans="1:22">
      <c r="A15" s="42"/>
      <c r="C15" s="216"/>
      <c r="D15" s="63">
        <v>1</v>
      </c>
      <c r="E15" s="392" t="s">
        <v>818</v>
      </c>
      <c r="F15" s="63" t="s">
        <v>819</v>
      </c>
      <c r="G15" s="759"/>
      <c r="H15" s="759"/>
      <c r="I15" s="759"/>
      <c r="J15" s="759"/>
      <c r="K15" s="82" t="s">
        <v>820</v>
      </c>
      <c r="V15" s="42">
        <v>0</v>
      </c>
    </row>
    <row r="16" ht="22.5" hidden="1" customHeight="1" spans="1:22">
      <c r="A16" s="42"/>
      <c r="C16" s="216"/>
      <c r="D16" s="63">
        <v>2</v>
      </c>
      <c r="E16" s="392" t="s">
        <v>821</v>
      </c>
      <c r="F16" s="63" t="s">
        <v>822</v>
      </c>
      <c r="G16" s="759"/>
      <c r="H16" s="759"/>
      <c r="I16" s="759"/>
      <c r="J16" s="759"/>
      <c r="K16" s="82" t="s">
        <v>823</v>
      </c>
      <c r="V16" s="42">
        <v>0</v>
      </c>
    </row>
    <row r="17" ht="123.75" hidden="1" customHeight="1" spans="1:22">
      <c r="A17" s="42"/>
      <c r="C17" s="216"/>
      <c r="D17" s="63">
        <v>3</v>
      </c>
      <c r="E17" s="392" t="s">
        <v>1178</v>
      </c>
      <c r="F17" s="63" t="s">
        <v>311</v>
      </c>
      <c r="G17" s="759"/>
      <c r="H17" s="759"/>
      <c r="I17" s="759"/>
      <c r="J17" s="759"/>
      <c r="K17" s="82" t="s">
        <v>1179</v>
      </c>
      <c r="V17" s="42">
        <v>0</v>
      </c>
    </row>
    <row r="18" ht="48.3" customHeight="1" spans="1:22">
      <c r="A18" s="42"/>
      <c r="C18" s="216"/>
      <c r="D18" s="63">
        <v>3</v>
      </c>
      <c r="E18" s="392" t="s">
        <v>824</v>
      </c>
      <c r="F18" s="63" t="s">
        <v>311</v>
      </c>
      <c r="G18" s="63" t="s">
        <v>311</v>
      </c>
      <c r="H18" s="70" t="s">
        <v>311</v>
      </c>
      <c r="I18" s="63" t="s">
        <v>311</v>
      </c>
      <c r="J18" s="70" t="s">
        <v>311</v>
      </c>
      <c r="K18" s="82" t="s">
        <v>1180</v>
      </c>
      <c r="V18" s="42">
        <v>46</v>
      </c>
    </row>
    <row r="19" ht="35.7" customHeight="1" spans="1:22">
      <c r="A19" s="42"/>
      <c r="C19" s="216"/>
      <c r="D19" s="231" t="s">
        <v>329</v>
      </c>
      <c r="E19" s="666" t="s">
        <v>826</v>
      </c>
      <c r="F19" s="63" t="s">
        <v>827</v>
      </c>
      <c r="G19" s="760"/>
      <c r="H19" s="214"/>
      <c r="I19" s="760"/>
      <c r="J19" s="625"/>
      <c r="K19" s="764"/>
      <c r="V19" s="42">
        <v>34</v>
      </c>
    </row>
    <row r="20" ht="35.7" customHeight="1" spans="1:22">
      <c r="A20" s="42"/>
      <c r="C20" s="216"/>
      <c r="D20" s="231" t="s">
        <v>337</v>
      </c>
      <c r="E20" s="666" t="s">
        <v>828</v>
      </c>
      <c r="F20" s="63" t="s">
        <v>829</v>
      </c>
      <c r="G20" s="760"/>
      <c r="H20" s="214"/>
      <c r="I20" s="760"/>
      <c r="J20" s="214"/>
      <c r="K20" s="764"/>
      <c r="V20" s="42">
        <v>34</v>
      </c>
    </row>
    <row r="21" ht="48.3" customHeight="1" spans="1:22">
      <c r="A21" s="42"/>
      <c r="C21" s="216"/>
      <c r="D21" s="231" t="s">
        <v>339</v>
      </c>
      <c r="E21" s="666" t="s">
        <v>830</v>
      </c>
      <c r="F21" s="63" t="s">
        <v>581</v>
      </c>
      <c r="G21" s="761"/>
      <c r="H21" s="214"/>
      <c r="I21" s="761"/>
      <c r="J21" s="214"/>
      <c r="K21" s="764"/>
      <c r="V21" s="42">
        <v>46</v>
      </c>
    </row>
    <row r="22" ht="67.5" hidden="1" customHeight="1" spans="1:22">
      <c r="A22" s="42"/>
      <c r="C22" s="216"/>
      <c r="D22" s="63">
        <v>5</v>
      </c>
      <c r="E22" s="392" t="s">
        <v>1181</v>
      </c>
      <c r="F22" s="63" t="s">
        <v>568</v>
      </c>
      <c r="G22" s="762"/>
      <c r="H22" s="763"/>
      <c r="I22" s="762"/>
      <c r="J22" s="763"/>
      <c r="K22" s="82" t="s">
        <v>1182</v>
      </c>
      <c r="V22" s="42">
        <v>0</v>
      </c>
    </row>
    <row r="23" ht="33.75" hidden="1" customHeight="1" spans="3:22">
      <c r="C23" s="216"/>
      <c r="D23" s="63">
        <v>6</v>
      </c>
      <c r="E23" s="392" t="s">
        <v>1183</v>
      </c>
      <c r="F23" s="63" t="s">
        <v>1184</v>
      </c>
      <c r="G23" s="762"/>
      <c r="H23" s="762"/>
      <c r="I23" s="762"/>
      <c r="J23" s="762"/>
      <c r="K23" s="82" t="s">
        <v>1185</v>
      </c>
      <c r="V23" s="42">
        <v>0</v>
      </c>
    </row>
    <row r="24" ht="15.75" customHeight="1" spans="22:22">
      <c r="V24" s="42">
        <v>15</v>
      </c>
    </row>
    <row r="25" ht="15.75" customHeight="1" spans="22:22">
      <c r="V25" s="42">
        <v>15</v>
      </c>
    </row>
    <row r="26" ht="15.75" customHeight="1" spans="22:22">
      <c r="V26" s="42">
        <v>15</v>
      </c>
    </row>
    <row r="27" ht="15.75" customHeight="1" spans="22:22">
      <c r="V27" s="42">
        <v>15</v>
      </c>
    </row>
    <row r="28" ht="15.75" customHeight="1" spans="22:22">
      <c r="V28" s="42">
        <v>15</v>
      </c>
    </row>
    <row r="29" ht="15.75" customHeight="1" spans="10:22">
      <c r="J29" s="765"/>
      <c r="V29" s="42">
        <v>15</v>
      </c>
    </row>
    <row r="30" ht="22.5" hidden="1" customHeight="1" spans="1:22">
      <c r="A30" s="572" t="s">
        <v>83</v>
      </c>
      <c r="B30" s="42">
        <v>0</v>
      </c>
      <c r="C30" s="234">
        <v>4</v>
      </c>
      <c r="D30" s="42">
        <v>6</v>
      </c>
      <c r="E30" s="42">
        <v>47</v>
      </c>
      <c r="F30" s="42">
        <v>9</v>
      </c>
      <c r="G30" s="42">
        <v>0</v>
      </c>
      <c r="H30" s="42">
        <v>0</v>
      </c>
      <c r="I30" s="42">
        <v>25</v>
      </c>
      <c r="J30" s="42">
        <v>33</v>
      </c>
      <c r="K30" s="37">
        <v>50</v>
      </c>
      <c r="L30" s="42">
        <v>10</v>
      </c>
      <c r="M30" s="42">
        <v>10</v>
      </c>
      <c r="N30" s="42">
        <v>10</v>
      </c>
      <c r="O30" s="42">
        <v>10</v>
      </c>
      <c r="P30" s="42">
        <v>10</v>
      </c>
      <c r="Q30" s="42">
        <v>10</v>
      </c>
      <c r="R30" s="42">
        <v>10</v>
      </c>
      <c r="S30" s="42">
        <v>10</v>
      </c>
      <c r="T30" s="42">
        <v>10</v>
      </c>
      <c r="U30" s="749">
        <v>10</v>
      </c>
      <c r="V30" s="42">
        <v>23</v>
      </c>
    </row>
  </sheetData>
  <sheetProtection formatColumns="0" formatRows="0" insertRows="0" deleteColumns="0" deleteRows="0" sort="0" autoFilter="0"/>
  <mergeCells count="13">
    <mergeCell ref="D5:J5"/>
    <mergeCell ref="D6:J6"/>
    <mergeCell ref="E9:F9"/>
    <mergeCell ref="G9:H9"/>
    <mergeCell ref="I9:J9"/>
    <mergeCell ref="E10:F10"/>
    <mergeCell ref="G10:H10"/>
    <mergeCell ref="I10:J10"/>
    <mergeCell ref="E11:F11"/>
    <mergeCell ref="G11:H11"/>
    <mergeCell ref="I11:J11"/>
    <mergeCell ref="D12:F12"/>
    <mergeCell ref="K9:K13"/>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3 E15"/>
    <dataValidation type="decimal" operator="between" allowBlank="1" showErrorMessage="1" errorTitle="Ошибка" error="Допускается ввод только неотрицательных чисел!" sqref="G21 I21">
      <formula1>0</formula1>
      <formula2>9.99999999999999E+23</formula2>
    </dataValidation>
    <dataValidation type="whole" operator="between"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CD118"/>
  <sheetViews>
    <sheetView showGridLines="0" workbookViewId="0">
      <selection activeCell="A1" sqref="A1"/>
    </sheetView>
  </sheetViews>
  <sheetFormatPr defaultColWidth="9.14285714285714" defaultRowHeight="11.25" customHeight="1"/>
  <cols>
    <col min="1" max="1" width="32.5714285714286" style="435" customWidth="1"/>
    <col min="2" max="2" width="11" customWidth="1"/>
    <col min="4" max="4" width="26.5714285714286" customWidth="1"/>
    <col min="5" max="5" width="36.847619047619" style="80" customWidth="1"/>
    <col min="6" max="6" width="23.5714285714286" style="80" customWidth="1"/>
    <col min="7" max="7" width="31.4190476190476" style="80" customWidth="1"/>
    <col min="8" max="8" width="40.847619047619" style="80" customWidth="1"/>
    <col min="9" max="9" width="14.5714285714286" style="80" customWidth="1"/>
    <col min="10" max="10" width="26.847619047619" style="80" customWidth="1"/>
    <col min="11" max="11" width="50" style="80" customWidth="1"/>
    <col min="12" max="12" width="52.4190476190476" style="80" customWidth="1"/>
    <col min="13" max="13" width="10.7142857142857" style="80" customWidth="1"/>
    <col min="14" max="14" width="55.1428571428571" style="80" customWidth="1"/>
    <col min="15" max="15" width="31.847619047619" style="80" customWidth="1"/>
    <col min="16" max="16" width="23.847619047619" style="80" customWidth="1"/>
    <col min="17" max="17" width="46.5714285714286" style="80" customWidth="1"/>
    <col min="18" max="18" width="24" style="80" customWidth="1"/>
    <col min="19" max="19" width="20.5714285714286" style="80" customWidth="1"/>
    <col min="20" max="20" width="22" style="80" customWidth="1"/>
    <col min="21" max="22" width="26.4190476190476" style="80" customWidth="1"/>
    <col min="23" max="23" width="8.28571428571429" style="80" hidden="1" customWidth="1"/>
    <col min="24" max="24" width="59.7142857142857" style="80" customWidth="1"/>
    <col min="25" max="25" width="49.1428571428571" style="80" customWidth="1"/>
    <col min="26" max="26" width="11.1428571428571" style="80" customWidth="1"/>
    <col min="27" max="30" width="29" style="80" customWidth="1"/>
    <col min="31" max="31" width="9.14285714285714" style="80"/>
    <col min="32" max="32" width="34.7142857142857" style="80" customWidth="1"/>
    <col min="33" max="33" width="9.14285714285714" style="80"/>
    <col min="34" max="35" width="34.4190476190476" style="80" customWidth="1"/>
    <col min="36" max="36" width="9.14285714285714" style="80"/>
    <col min="37" max="37" width="24.5714285714286" style="80" customWidth="1"/>
    <col min="38" max="38" width="9.14285714285714" style="80"/>
    <col min="39" max="39" width="26.1428571428571" style="80" customWidth="1"/>
    <col min="40" max="40" width="1.71428571428571" style="80" customWidth="1"/>
    <col min="41" max="41" width="9.14285714285714" style="80"/>
    <col min="42" max="43" width="47.847619047619" style="80" customWidth="1"/>
    <col min="44" max="44" width="1.71428571428571" style="80" customWidth="1"/>
    <col min="45" max="45" width="21.4190476190476" style="80" customWidth="1"/>
    <col min="46" max="46" width="1.71428571428571" style="80" customWidth="1"/>
    <col min="47" max="47" width="31.2857142857143" style="80" customWidth="1"/>
    <col min="48" max="48" width="1.71428571428571" style="80" customWidth="1"/>
    <col min="49" max="50" width="9.14285714285714" style="80"/>
    <col min="51" max="51" width="3.71428571428571" style="80" customWidth="1"/>
    <col min="52" max="52" width="60.847619047619" style="80" customWidth="1"/>
    <col min="53" max="53" width="49.2857142857143" style="80" customWidth="1"/>
    <col min="54" max="54" width="35.1428571428571" style="80" customWidth="1"/>
    <col min="55" max="55" width="9.14285714285714" style="80"/>
    <col min="56" max="56" width="1.71428571428571" style="80" customWidth="1"/>
    <col min="57" max="57" width="12.5714285714286" style="683" customWidth="1"/>
    <col min="58" max="58" width="14.2857142857143" style="683" customWidth="1"/>
    <col min="59" max="59" width="30.7142857142857" style="80" customWidth="1"/>
    <col min="60" max="60" width="40.7142857142857" style="450" customWidth="1"/>
    <col min="61" max="61" width="15" style="450" customWidth="1"/>
    <col min="62" max="62" width="40.7142857142857" style="450" customWidth="1"/>
    <col min="63" max="63" width="2.71428571428571" style="450" customWidth="1"/>
    <col min="64" max="64" width="44.7142857142857" style="450" customWidth="1"/>
    <col min="65" max="65" width="2.71428571428571" style="450" customWidth="1"/>
    <col min="66" max="66" width="40.7142857142857" style="450" customWidth="1"/>
    <col min="67" max="68" width="9.14285714285714" style="80"/>
    <col min="69" max="69" width="18.1428571428571" style="80" customWidth="1"/>
    <col min="70" max="70" width="57.847619047619" style="80" customWidth="1"/>
    <col min="71" max="71" width="1.71428571428571" style="80" customWidth="1"/>
    <col min="72" max="72" width="22.5714285714286" style="80" customWidth="1"/>
    <col min="73" max="73" width="57.847619047619" style="80" customWidth="1"/>
    <col min="74" max="74" width="1.71428571428571" style="80" customWidth="1"/>
    <col min="75" max="75" width="22.5714285714286" style="80" customWidth="1"/>
    <col min="76" max="76" width="57.847619047619" style="80" customWidth="1"/>
    <col min="77" max="77" width="1.71428571428571" style="80" customWidth="1"/>
    <col min="78" max="78" width="22.5714285714286" style="80" customWidth="1"/>
    <col min="79" max="79" width="57.847619047619" style="80" customWidth="1"/>
    <col min="80" max="81" width="9.14285714285714" style="80"/>
    <col min="82" max="82" width="49.5714285714286" style="80" customWidth="1"/>
  </cols>
  <sheetData>
    <row r="1" s="682" customFormat="1" customHeight="1" spans="1:66">
      <c r="A1" s="684" t="s">
        <v>1186</v>
      </c>
      <c r="B1" s="684" t="s">
        <v>1187</v>
      </c>
      <c r="C1" s="684" t="s">
        <v>1188</v>
      </c>
      <c r="D1" s="684" t="s">
        <v>1189</v>
      </c>
      <c r="E1" s="684" t="s">
        <v>1190</v>
      </c>
      <c r="F1" s="684" t="s">
        <v>1191</v>
      </c>
      <c r="G1" s="684" t="s">
        <v>1192</v>
      </c>
      <c r="H1" s="684" t="s">
        <v>1193</v>
      </c>
      <c r="I1" s="684" t="s">
        <v>1194</v>
      </c>
      <c r="J1" s="684" t="s">
        <v>1195</v>
      </c>
      <c r="K1" s="684" t="s">
        <v>1196</v>
      </c>
      <c r="L1" s="684" t="s">
        <v>1197</v>
      </c>
      <c r="M1" s="684"/>
      <c r="N1" s="684" t="s">
        <v>1198</v>
      </c>
      <c r="O1" s="684" t="s">
        <v>1199</v>
      </c>
      <c r="P1" s="684" t="s">
        <v>1200</v>
      </c>
      <c r="Q1" s="684" t="s">
        <v>1201</v>
      </c>
      <c r="R1" s="684" t="s">
        <v>1202</v>
      </c>
      <c r="S1" s="684" t="s">
        <v>1203</v>
      </c>
      <c r="T1" s="684" t="s">
        <v>1204</v>
      </c>
      <c r="U1" s="684" t="s">
        <v>1205</v>
      </c>
      <c r="V1" s="684"/>
      <c r="W1" s="705" t="s">
        <v>1206</v>
      </c>
      <c r="X1" s="684" t="s">
        <v>1207</v>
      </c>
      <c r="Y1" s="684" t="s">
        <v>1208</v>
      </c>
      <c r="Z1" s="684"/>
      <c r="AA1" s="684" t="s">
        <v>1209</v>
      </c>
      <c r="AB1" s="684"/>
      <c r="AC1" s="684" t="s">
        <v>1210</v>
      </c>
      <c r="AD1" s="684"/>
      <c r="AF1" s="684" t="s">
        <v>1211</v>
      </c>
      <c r="AH1" s="684" t="s">
        <v>1212</v>
      </c>
      <c r="AI1" s="684" t="s">
        <v>1213</v>
      </c>
      <c r="AK1" s="684" t="s">
        <v>1214</v>
      </c>
      <c r="AM1" s="684" t="s">
        <v>1215</v>
      </c>
      <c r="AP1" s="684" t="s">
        <v>1216</v>
      </c>
      <c r="AQ1" s="684" t="s">
        <v>1217</v>
      </c>
      <c r="AS1" s="684" t="s">
        <v>1218</v>
      </c>
      <c r="AU1" s="684" t="s">
        <v>1219</v>
      </c>
      <c r="AW1" s="684" t="s">
        <v>1220</v>
      </c>
      <c r="AX1" s="684" t="s">
        <v>1221</v>
      </c>
      <c r="AZ1" s="737" t="s">
        <v>1222</v>
      </c>
      <c r="BB1" s="684" t="s">
        <v>1223</v>
      </c>
      <c r="BC1" s="684"/>
      <c r="BE1" s="684" t="s">
        <v>1224</v>
      </c>
      <c r="BF1" s="684" t="s">
        <v>1225</v>
      </c>
      <c r="BH1" s="738" t="s">
        <v>817</v>
      </c>
      <c r="BI1" s="450"/>
      <c r="BJ1" s="739" t="s">
        <v>1226</v>
      </c>
      <c r="BK1" s="450"/>
      <c r="BL1" s="740" t="s">
        <v>916</v>
      </c>
      <c r="BM1" s="450"/>
      <c r="BN1" s="743" t="s">
        <v>1227</v>
      </c>
    </row>
    <row r="2" customHeight="1" spans="1:58">
      <c r="A2" s="80" t="s">
        <v>1228</v>
      </c>
      <c r="B2" s="685">
        <v>2000</v>
      </c>
      <c r="C2" s="685">
        <v>2022</v>
      </c>
      <c r="D2" s="685" t="s">
        <v>62</v>
      </c>
      <c r="E2" s="686" t="s">
        <v>1229</v>
      </c>
      <c r="F2" s="686" t="s">
        <v>1230</v>
      </c>
      <c r="G2" s="686" t="s">
        <v>1231</v>
      </c>
      <c r="H2" s="686" t="s">
        <v>56</v>
      </c>
      <c r="I2" s="686" t="s">
        <v>111</v>
      </c>
      <c r="J2" s="686" t="s">
        <v>1232</v>
      </c>
      <c r="K2" s="58" t="s">
        <v>1233</v>
      </c>
      <c r="L2" s="58"/>
      <c r="M2" s="58">
        <v>1</v>
      </c>
      <c r="N2" s="711" t="s">
        <v>1234</v>
      </c>
      <c r="O2" s="686" t="s">
        <v>1235</v>
      </c>
      <c r="P2" s="712" t="s">
        <v>37</v>
      </c>
      <c r="Q2" s="724" t="s">
        <v>1236</v>
      </c>
      <c r="R2" s="725" t="s">
        <v>1237</v>
      </c>
      <c r="S2" s="725" t="s">
        <v>1238</v>
      </c>
      <c r="T2" s="726" t="s">
        <v>1239</v>
      </c>
      <c r="U2" s="58" t="s">
        <v>1240</v>
      </c>
      <c r="V2" s="727">
        <v>1</v>
      </c>
      <c r="W2" s="728"/>
      <c r="X2" s="728" t="s">
        <v>1241</v>
      </c>
      <c r="Y2" s="685" t="s">
        <v>1242</v>
      </c>
      <c r="Z2" s="733"/>
      <c r="AA2" s="685" t="s">
        <v>1243</v>
      </c>
      <c r="AB2" s="734" t="s">
        <v>1243</v>
      </c>
      <c r="AC2" s="685" t="s">
        <v>1244</v>
      </c>
      <c r="AD2" s="734" t="s">
        <v>1244</v>
      </c>
      <c r="AF2" s="686" t="s">
        <v>1240</v>
      </c>
      <c r="AH2" s="686" t="s">
        <v>1245</v>
      </c>
      <c r="AI2" s="686" t="s">
        <v>1245</v>
      </c>
      <c r="AK2" s="686" t="s">
        <v>1246</v>
      </c>
      <c r="AM2" s="686" t="s">
        <v>1247</v>
      </c>
      <c r="AP2" s="4" t="s">
        <v>1241</v>
      </c>
      <c r="AQ2" s="700" t="s">
        <v>1241</v>
      </c>
      <c r="AS2" s="685" t="s">
        <v>1248</v>
      </c>
      <c r="AU2" s="736" t="s">
        <v>519</v>
      </c>
      <c r="AW2" s="736" t="s">
        <v>1249</v>
      </c>
      <c r="AX2" s="736" t="s">
        <v>1249</v>
      </c>
      <c r="AZ2" s="736" t="s">
        <v>1250</v>
      </c>
      <c r="BB2" s="736" t="s">
        <v>1251</v>
      </c>
      <c r="BC2" s="736" t="s">
        <v>1252</v>
      </c>
      <c r="BE2" s="736">
        <v>2000</v>
      </c>
      <c r="BF2" s="736" t="s">
        <v>1253</v>
      </c>
    </row>
    <row r="3" customHeight="1" spans="1:79">
      <c r="A3" s="80" t="s">
        <v>1254</v>
      </c>
      <c r="B3" s="685">
        <v>2001</v>
      </c>
      <c r="C3" s="685">
        <v>2023</v>
      </c>
      <c r="D3" s="685" t="s">
        <v>19</v>
      </c>
      <c r="E3" s="686" t="s">
        <v>1255</v>
      </c>
      <c r="F3" s="686" t="s">
        <v>1256</v>
      </c>
      <c r="G3" s="686" t="s">
        <v>1257</v>
      </c>
      <c r="H3" s="686" t="s">
        <v>1258</v>
      </c>
      <c r="I3" s="686" t="s">
        <v>112</v>
      </c>
      <c r="J3" s="686" t="s">
        <v>566</v>
      </c>
      <c r="K3" s="58" t="s">
        <v>1259</v>
      </c>
      <c r="L3" s="58">
        <f>IFERROR(MATCH(K3,OFFER_METHOD,0),0)</f>
        <v>0</v>
      </c>
      <c r="M3" s="58">
        <v>2</v>
      </c>
      <c r="N3" s="711" t="s">
        <v>1260</v>
      </c>
      <c r="O3" s="686" t="s">
        <v>1261</v>
      </c>
      <c r="P3" s="712" t="s">
        <v>1262</v>
      </c>
      <c r="Q3" s="724" t="s">
        <v>1263</v>
      </c>
      <c r="R3" s="725" t="s">
        <v>1264</v>
      </c>
      <c r="S3" s="725" t="s">
        <v>1265</v>
      </c>
      <c r="T3" s="726" t="s">
        <v>1266</v>
      </c>
      <c r="U3" s="58" t="s">
        <v>1267</v>
      </c>
      <c r="V3" s="727">
        <v>2</v>
      </c>
      <c r="W3" s="728"/>
      <c r="X3" s="728" t="s">
        <v>1268</v>
      </c>
      <c r="Y3" s="685" t="s">
        <v>1242</v>
      </c>
      <c r="Z3" s="733"/>
      <c r="AA3" s="685" t="s">
        <v>1269</v>
      </c>
      <c r="AB3" s="734" t="s">
        <v>1269</v>
      </c>
      <c r="AC3" s="685" t="s">
        <v>1270</v>
      </c>
      <c r="AD3" s="734" t="s">
        <v>1270</v>
      </c>
      <c r="AF3" s="686" t="s">
        <v>1267</v>
      </c>
      <c r="AH3" s="686" t="s">
        <v>1271</v>
      </c>
      <c r="AI3" s="686" t="s">
        <v>1272</v>
      </c>
      <c r="AK3" s="686" t="s">
        <v>1273</v>
      </c>
      <c r="AM3" s="686" t="s">
        <v>1274</v>
      </c>
      <c r="AP3" s="4" t="s">
        <v>1275</v>
      </c>
      <c r="AQ3" s="700" t="s">
        <v>1275</v>
      </c>
      <c r="AS3" s="685" t="s">
        <v>1276</v>
      </c>
      <c r="AU3" s="736" t="s">
        <v>522</v>
      </c>
      <c r="AW3" s="736" t="s">
        <v>1277</v>
      </c>
      <c r="AX3" s="736" t="s">
        <v>1277</v>
      </c>
      <c r="AZ3" s="736" t="s">
        <v>1278</v>
      </c>
      <c r="BB3" s="736" t="s">
        <v>1279</v>
      </c>
      <c r="BC3" s="736" t="s">
        <v>1252</v>
      </c>
      <c r="BE3" s="736">
        <v>2001</v>
      </c>
      <c r="BF3" s="736" t="s">
        <v>1280</v>
      </c>
      <c r="BH3" s="684" t="s">
        <v>1281</v>
      </c>
      <c r="BJ3" s="684" t="s">
        <v>1282</v>
      </c>
      <c r="BL3" s="684" t="s">
        <v>1283</v>
      </c>
      <c r="BN3" s="684" t="s">
        <v>1284</v>
      </c>
      <c r="BR3" s="684" t="s">
        <v>1285</v>
      </c>
      <c r="BS3" s="744"/>
      <c r="BT3" s="450"/>
      <c r="BU3" s="684" t="s">
        <v>1286</v>
      </c>
      <c r="BV3" s="450"/>
      <c r="BW3"/>
      <c r="BX3" s="684" t="s">
        <v>1287</v>
      </c>
      <c r="CA3" s="684" t="s">
        <v>1288</v>
      </c>
    </row>
    <row r="4" customHeight="1" spans="1:79">
      <c r="A4" s="80" t="s">
        <v>1289</v>
      </c>
      <c r="B4" s="685">
        <v>2002</v>
      </c>
      <c r="C4" s="685">
        <v>2024</v>
      </c>
      <c r="E4" s="686" t="s">
        <v>1290</v>
      </c>
      <c r="F4" s="686" t="s">
        <v>1291</v>
      </c>
      <c r="H4" s="686" t="s">
        <v>1292</v>
      </c>
      <c r="I4" s="686" t="s">
        <v>91</v>
      </c>
      <c r="J4" s="686" t="s">
        <v>1293</v>
      </c>
      <c r="K4" s="58" t="s">
        <v>1294</v>
      </c>
      <c r="L4" s="58">
        <f>IFERROR(MATCH(K4,OFFER_METHOD,0),0)</f>
        <v>0</v>
      </c>
      <c r="M4" s="58">
        <v>3</v>
      </c>
      <c r="N4" s="711" t="s">
        <v>1295</v>
      </c>
      <c r="O4" s="686" t="s">
        <v>1296</v>
      </c>
      <c r="Q4" s="724" t="s">
        <v>1297</v>
      </c>
      <c r="R4" s="725" t="s">
        <v>1298</v>
      </c>
      <c r="S4" s="725" t="s">
        <v>1299</v>
      </c>
      <c r="T4" s="726" t="s">
        <v>1300</v>
      </c>
      <c r="U4" s="58" t="s">
        <v>1301</v>
      </c>
      <c r="V4" s="727">
        <v>3</v>
      </c>
      <c r="W4" s="728"/>
      <c r="X4" s="728" t="s">
        <v>1302</v>
      </c>
      <c r="Y4" s="685" t="s">
        <v>1242</v>
      </c>
      <c r="Z4" s="500"/>
      <c r="AC4" s="685" t="s">
        <v>1303</v>
      </c>
      <c r="AD4" s="734" t="s">
        <v>1303</v>
      </c>
      <c r="AF4" s="686" t="s">
        <v>1301</v>
      </c>
      <c r="AH4" s="686" t="s">
        <v>1304</v>
      </c>
      <c r="AK4" s="686" t="s">
        <v>1305</v>
      </c>
      <c r="AM4" s="686" t="s">
        <v>1306</v>
      </c>
      <c r="AP4" s="4" t="s">
        <v>1268</v>
      </c>
      <c r="AQ4" s="700" t="s">
        <v>1268</v>
      </c>
      <c r="AS4" s="685" t="s">
        <v>1307</v>
      </c>
      <c r="AU4" s="736" t="s">
        <v>1308</v>
      </c>
      <c r="AW4" s="736" t="s">
        <v>1309</v>
      </c>
      <c r="AX4" s="736" t="s">
        <v>1309</v>
      </c>
      <c r="AZ4" s="736" t="s">
        <v>1310</v>
      </c>
      <c r="BB4" s="736" t="s">
        <v>1311</v>
      </c>
      <c r="BC4" s="736" t="s">
        <v>1312</v>
      </c>
      <c r="BE4" s="736">
        <v>2002</v>
      </c>
      <c r="BF4" s="736" t="s">
        <v>1313</v>
      </c>
      <c r="BH4" s="741" t="s">
        <v>1314</v>
      </c>
      <c r="BJ4" s="741" t="s">
        <v>1314</v>
      </c>
      <c r="BL4" s="741" t="s">
        <v>1314</v>
      </c>
      <c r="BN4" s="741" t="s">
        <v>1314</v>
      </c>
      <c r="BQ4" s="745" t="s">
        <v>1315</v>
      </c>
      <c r="BR4" s="4" t="s">
        <v>1316</v>
      </c>
      <c r="BS4" s="4"/>
      <c r="BT4" s="745" t="s">
        <v>1317</v>
      </c>
      <c r="BU4" s="4" t="s">
        <v>1318</v>
      </c>
      <c r="BV4" s="450"/>
      <c r="BW4" s="745" t="s">
        <v>1319</v>
      </c>
      <c r="BX4" s="4" t="s">
        <v>1320</v>
      </c>
      <c r="BZ4" s="745" t="s">
        <v>1321</v>
      </c>
      <c r="CA4" s="4" t="s">
        <v>1322</v>
      </c>
    </row>
    <row r="5" customHeight="1" spans="1:79">
      <c r="A5" s="80" t="s">
        <v>1323</v>
      </c>
      <c r="B5" s="685">
        <v>2003</v>
      </c>
      <c r="C5" s="685">
        <v>2025</v>
      </c>
      <c r="E5" s="686" t="s">
        <v>1324</v>
      </c>
      <c r="F5" s="686" t="s">
        <v>1325</v>
      </c>
      <c r="H5" s="686" t="s">
        <v>1326</v>
      </c>
      <c r="I5" s="686" t="s">
        <v>92</v>
      </c>
      <c r="K5" s="58" t="s">
        <v>1327</v>
      </c>
      <c r="L5" s="58">
        <f>IFERROR(MATCH(K5,OFFER_METHOD,0),0)</f>
        <v>0</v>
      </c>
      <c r="M5" s="58">
        <v>4</v>
      </c>
      <c r="N5" s="713" t="s">
        <v>1328</v>
      </c>
      <c r="O5" s="686" t="s">
        <v>1329</v>
      </c>
      <c r="Q5" s="724" t="s">
        <v>1330</v>
      </c>
      <c r="R5" s="725" t="s">
        <v>1331</v>
      </c>
      <c r="T5" s="686" t="s">
        <v>1332</v>
      </c>
      <c r="U5" s="58" t="s">
        <v>1333</v>
      </c>
      <c r="V5" s="727">
        <v>4</v>
      </c>
      <c r="W5" s="728"/>
      <c r="X5" s="728" t="s">
        <v>168</v>
      </c>
      <c r="Y5" s="685" t="s">
        <v>1334</v>
      </c>
      <c r="Z5" s="500">
        <v>1</v>
      </c>
      <c r="AF5" s="686" t="s">
        <v>1335</v>
      </c>
      <c r="AH5" s="686" t="s">
        <v>1336</v>
      </c>
      <c r="AK5" s="686" t="s">
        <v>1337</v>
      </c>
      <c r="AM5" s="686" t="s">
        <v>1338</v>
      </c>
      <c r="AP5" s="4" t="s">
        <v>168</v>
      </c>
      <c r="AQ5" s="700" t="s">
        <v>168</v>
      </c>
      <c r="AU5" s="736" t="s">
        <v>523</v>
      </c>
      <c r="AW5" s="736" t="s">
        <v>1339</v>
      </c>
      <c r="AX5" s="736" t="s">
        <v>1339</v>
      </c>
      <c r="AZ5" s="736" t="s">
        <v>1340</v>
      </c>
      <c r="BB5" s="736" t="s">
        <v>1341</v>
      </c>
      <c r="BC5" s="736" t="s">
        <v>1342</v>
      </c>
      <c r="BE5" s="736">
        <v>2003</v>
      </c>
      <c r="BF5" s="736" t="s">
        <v>1343</v>
      </c>
      <c r="BH5" s="741" t="s">
        <v>1344</v>
      </c>
      <c r="BJ5" s="741" t="s">
        <v>1344</v>
      </c>
      <c r="BL5" s="741" t="s">
        <v>1344</v>
      </c>
      <c r="BN5" s="741" t="s">
        <v>1345</v>
      </c>
      <c r="BQ5" s="736">
        <v>4213775</v>
      </c>
      <c r="BR5" s="741" t="s">
        <v>1241</v>
      </c>
      <c r="BS5" s="56"/>
      <c r="BT5" s="736">
        <v>64236871</v>
      </c>
      <c r="BU5" s="741" t="s">
        <v>229</v>
      </c>
      <c r="BV5" s="450"/>
      <c r="BW5" s="736">
        <v>4213767</v>
      </c>
      <c r="BX5" s="741" t="s">
        <v>1346</v>
      </c>
      <c r="BZ5" s="736">
        <v>64237509</v>
      </c>
      <c r="CA5" s="746" t="s">
        <v>1347</v>
      </c>
    </row>
    <row r="6" customHeight="1" spans="1:79">
      <c r="A6" s="80" t="s">
        <v>1348</v>
      </c>
      <c r="B6" s="685">
        <v>2004</v>
      </c>
      <c r="C6" s="685">
        <v>2026</v>
      </c>
      <c r="E6" s="686" t="s">
        <v>1349</v>
      </c>
      <c r="F6" s="35"/>
      <c r="H6" s="686" t="s">
        <v>1350</v>
      </c>
      <c r="I6" s="686" t="s">
        <v>113</v>
      </c>
      <c r="J6" s="684" t="s">
        <v>1351</v>
      </c>
      <c r="L6" s="58">
        <f>SUM(kind_of_control_method_filter)</f>
        <v>0</v>
      </c>
      <c r="N6" s="713" t="s">
        <v>1352</v>
      </c>
      <c r="O6" s="686" t="s">
        <v>1353</v>
      </c>
      <c r="R6" s="725" t="s">
        <v>1236</v>
      </c>
      <c r="T6" s="686" t="s">
        <v>1354</v>
      </c>
      <c r="U6" s="58" t="s">
        <v>1335</v>
      </c>
      <c r="V6" s="727">
        <v>5</v>
      </c>
      <c r="W6" s="728"/>
      <c r="X6" s="685" t="s">
        <v>174</v>
      </c>
      <c r="Y6" s="685" t="s">
        <v>1355</v>
      </c>
      <c r="Z6" s="500"/>
      <c r="AA6" s="704"/>
      <c r="AH6" s="686" t="s">
        <v>1356</v>
      </c>
      <c r="AK6" s="686" t="s">
        <v>1357</v>
      </c>
      <c r="AM6" s="686" t="s">
        <v>1358</v>
      </c>
      <c r="AP6" s="4" t="s">
        <v>174</v>
      </c>
      <c r="AQ6" s="700" t="s">
        <v>174</v>
      </c>
      <c r="AU6" s="736" t="s">
        <v>524</v>
      </c>
      <c r="AW6" s="736" t="s">
        <v>1359</v>
      </c>
      <c r="AX6" s="736" t="s">
        <v>1359</v>
      </c>
      <c r="BB6" s="736" t="s">
        <v>1360</v>
      </c>
      <c r="BC6" s="736" t="s">
        <v>1342</v>
      </c>
      <c r="BE6" s="736">
        <v>2004</v>
      </c>
      <c r="BF6" s="736" t="s">
        <v>1361</v>
      </c>
      <c r="BH6" s="741" t="s">
        <v>1362</v>
      </c>
      <c r="BJ6" s="741" t="s">
        <v>1363</v>
      </c>
      <c r="BL6" s="741" t="s">
        <v>1363</v>
      </c>
      <c r="BN6" s="741" t="s">
        <v>1364</v>
      </c>
      <c r="BQ6" s="736">
        <v>4213784</v>
      </c>
      <c r="BR6" s="746" t="s">
        <v>1275</v>
      </c>
      <c r="BS6" s="747"/>
      <c r="BT6" s="736">
        <v>64236872</v>
      </c>
      <c r="BU6" s="741" t="s">
        <v>234</v>
      </c>
      <c r="BV6" s="450"/>
      <c r="BW6" s="736">
        <v>4213768</v>
      </c>
      <c r="BX6" s="741" t="s">
        <v>259</v>
      </c>
      <c r="BZ6" s="736">
        <v>64237510</v>
      </c>
      <c r="CA6" s="741" t="s">
        <v>1365</v>
      </c>
    </row>
    <row r="7" customHeight="1" spans="1:79">
      <c r="A7" s="80" t="s">
        <v>1366</v>
      </c>
      <c r="B7" s="685">
        <v>2005</v>
      </c>
      <c r="E7" s="686" t="s">
        <v>1367</v>
      </c>
      <c r="F7" s="35"/>
      <c r="H7" s="686" t="s">
        <v>1368</v>
      </c>
      <c r="I7" s="686" t="s">
        <v>93</v>
      </c>
      <c r="J7" s="686" t="s">
        <v>1369</v>
      </c>
      <c r="N7" s="24" t="s">
        <v>1370</v>
      </c>
      <c r="O7" s="686" t="s">
        <v>1371</v>
      </c>
      <c r="U7" s="58" t="s">
        <v>19</v>
      </c>
      <c r="V7" s="729" t="s">
        <v>93</v>
      </c>
      <c r="W7" s="728"/>
      <c r="X7" s="685" t="s">
        <v>180</v>
      </c>
      <c r="Y7" s="685" t="s">
        <v>1334</v>
      </c>
      <c r="Z7" s="500"/>
      <c r="AA7" s="704"/>
      <c r="AH7" s="686" t="s">
        <v>1372</v>
      </c>
      <c r="AK7" s="686" t="s">
        <v>1373</v>
      </c>
      <c r="AM7" s="686" t="s">
        <v>1374</v>
      </c>
      <c r="AP7" s="4" t="s">
        <v>180</v>
      </c>
      <c r="AQ7" s="700" t="s">
        <v>180</v>
      </c>
      <c r="AU7" s="736" t="s">
        <v>525</v>
      </c>
      <c r="AW7" s="736" t="s">
        <v>1375</v>
      </c>
      <c r="AX7" s="736" t="s">
        <v>1375</v>
      </c>
      <c r="AZ7" s="684" t="s">
        <v>1376</v>
      </c>
      <c r="BB7" s="736" t="s">
        <v>1377</v>
      </c>
      <c r="BC7" s="736" t="s">
        <v>1342</v>
      </c>
      <c r="BE7" s="736">
        <v>2005</v>
      </c>
      <c r="BF7" s="736" t="s">
        <v>1378</v>
      </c>
      <c r="BH7" s="741" t="s">
        <v>1379</v>
      </c>
      <c r="BJ7" s="741" t="s">
        <v>1362</v>
      </c>
      <c r="BL7" s="741" t="s">
        <v>1362</v>
      </c>
      <c r="BN7" s="741" t="s">
        <v>1380</v>
      </c>
      <c r="BQ7" s="736">
        <v>4213781</v>
      </c>
      <c r="BR7" s="741" t="s">
        <v>1268</v>
      </c>
      <c r="BS7" s="56"/>
      <c r="BT7" s="736">
        <v>64236873</v>
      </c>
      <c r="BU7" s="741" t="s">
        <v>239</v>
      </c>
      <c r="BV7" s="450"/>
      <c r="BW7" s="736">
        <v>4213769</v>
      </c>
      <c r="BX7" s="741" t="s">
        <v>1381</v>
      </c>
      <c r="BZ7" s="736">
        <v>64237511</v>
      </c>
      <c r="CA7" s="741" t="s">
        <v>274</v>
      </c>
    </row>
    <row r="8" customHeight="1" spans="1:79">
      <c r="A8" s="80" t="s">
        <v>1382</v>
      </c>
      <c r="B8" s="685">
        <v>2006</v>
      </c>
      <c r="E8" s="686" t="s">
        <v>1383</v>
      </c>
      <c r="F8" s="35"/>
      <c r="H8" s="686" t="s">
        <v>1384</v>
      </c>
      <c r="I8" s="686" t="s">
        <v>94</v>
      </c>
      <c r="J8" s="686" t="s">
        <v>1385</v>
      </c>
      <c r="N8" s="714" t="s">
        <v>1386</v>
      </c>
      <c r="O8" s="686" t="s">
        <v>1387</v>
      </c>
      <c r="V8" s="729" t="s">
        <v>94</v>
      </c>
      <c r="W8" s="728"/>
      <c r="X8" s="685" t="s">
        <v>186</v>
      </c>
      <c r="Y8" s="685" t="s">
        <v>1334</v>
      </c>
      <c r="Z8" s="500"/>
      <c r="AA8" s="704"/>
      <c r="AK8" s="686" t="s">
        <v>1388</v>
      </c>
      <c r="AP8" s="4" t="s">
        <v>186</v>
      </c>
      <c r="AQ8" s="700" t="s">
        <v>186</v>
      </c>
      <c r="AU8" s="736" t="s">
        <v>1389</v>
      </c>
      <c r="AW8" s="736" t="s">
        <v>1390</v>
      </c>
      <c r="AX8" s="736" t="s">
        <v>1390</v>
      </c>
      <c r="AZ8" s="736" t="s">
        <v>1391</v>
      </c>
      <c r="BB8" s="736" t="s">
        <v>1392</v>
      </c>
      <c r="BC8" s="736" t="s">
        <v>1342</v>
      </c>
      <c r="BE8" s="736">
        <v>2006</v>
      </c>
      <c r="BF8" s="736" t="s">
        <v>1393</v>
      </c>
      <c r="BH8" s="741" t="s">
        <v>1394</v>
      </c>
      <c r="BJ8" s="741" t="s">
        <v>1395</v>
      </c>
      <c r="BL8" s="741" t="s">
        <v>1395</v>
      </c>
      <c r="BN8" s="741" t="s">
        <v>1396</v>
      </c>
      <c r="BQ8" s="736">
        <v>4213776</v>
      </c>
      <c r="BR8" s="741" t="s">
        <v>168</v>
      </c>
      <c r="BS8" s="56"/>
      <c r="BT8" s="736">
        <v>64236874</v>
      </c>
      <c r="BU8" s="746" t="s">
        <v>1397</v>
      </c>
      <c r="BV8" s="450"/>
      <c r="BW8" s="736">
        <v>4213770</v>
      </c>
      <c r="BX8" s="746" t="s">
        <v>1398</v>
      </c>
      <c r="BZ8" s="736">
        <v>64237512</v>
      </c>
      <c r="CA8" s="741" t="s">
        <v>269</v>
      </c>
    </row>
    <row r="9" customHeight="1" spans="1:76">
      <c r="A9" s="80" t="s">
        <v>1399</v>
      </c>
      <c r="B9" s="685">
        <v>2007</v>
      </c>
      <c r="E9" s="686" t="s">
        <v>1400</v>
      </c>
      <c r="F9" s="35"/>
      <c r="G9" s="684" t="s">
        <v>1401</v>
      </c>
      <c r="H9" s="684" t="s">
        <v>1402</v>
      </c>
      <c r="I9" s="686" t="s">
        <v>114</v>
      </c>
      <c r="O9" s="686" t="s">
        <v>1403</v>
      </c>
      <c r="V9" s="729" t="s">
        <v>114</v>
      </c>
      <c r="W9" s="728"/>
      <c r="X9" s="685" t="s">
        <v>192</v>
      </c>
      <c r="Y9" s="685" t="s">
        <v>1242</v>
      </c>
      <c r="Z9" s="500">
        <v>1</v>
      </c>
      <c r="AA9" s="704"/>
      <c r="AK9" s="686" t="s">
        <v>1404</v>
      </c>
      <c r="AP9" s="4" t="s">
        <v>1405</v>
      </c>
      <c r="AQ9" s="700" t="s">
        <v>1405</v>
      </c>
      <c r="AW9" s="736" t="s">
        <v>1406</v>
      </c>
      <c r="AX9" s="736" t="s">
        <v>1406</v>
      </c>
      <c r="AZ9" s="736" t="s">
        <v>1407</v>
      </c>
      <c r="BB9" s="736" t="s">
        <v>1408</v>
      </c>
      <c r="BC9" s="736" t="s">
        <v>1342</v>
      </c>
      <c r="BE9" s="736">
        <v>2007</v>
      </c>
      <c r="BF9" s="736" t="s">
        <v>1409</v>
      </c>
      <c r="BH9" s="741" t="s">
        <v>1410</v>
      </c>
      <c r="BJ9" s="741" t="s">
        <v>1411</v>
      </c>
      <c r="BL9" s="741" t="s">
        <v>1411</v>
      </c>
      <c r="BN9" s="741" t="s">
        <v>1412</v>
      </c>
      <c r="BQ9" s="736">
        <v>4213777</v>
      </c>
      <c r="BR9" s="741" t="s">
        <v>174</v>
      </c>
      <c r="BS9" s="56"/>
      <c r="BT9" s="736">
        <v>64236875</v>
      </c>
      <c r="BU9" s="741" t="s">
        <v>244</v>
      </c>
      <c r="BV9" s="450"/>
      <c r="BW9"/>
      <c r="BX9"/>
    </row>
    <row r="10" customHeight="1" spans="1:76">
      <c r="A10" s="80" t="s">
        <v>1413</v>
      </c>
      <c r="B10" s="685">
        <v>2008</v>
      </c>
      <c r="E10" s="686" t="s">
        <v>1414</v>
      </c>
      <c r="F10" s="35"/>
      <c r="G10" s="686" t="s">
        <v>1415</v>
      </c>
      <c r="H10" s="686" t="s">
        <v>1416</v>
      </c>
      <c r="I10" s="686" t="s">
        <v>150</v>
      </c>
      <c r="J10" s="684" t="s">
        <v>1417</v>
      </c>
      <c r="K10" s="684" t="s">
        <v>1418</v>
      </c>
      <c r="O10" s="686" t="s">
        <v>1419</v>
      </c>
      <c r="V10" s="730" t="s">
        <v>150</v>
      </c>
      <c r="W10" s="731"/>
      <c r="X10" s="731" t="s">
        <v>1420</v>
      </c>
      <c r="Y10" s="735" t="s">
        <v>1421</v>
      </c>
      <c r="Z10" s="500"/>
      <c r="AP10" s="4" t="s">
        <v>1420</v>
      </c>
      <c r="AQ10" s="700" t="s">
        <v>1420</v>
      </c>
      <c r="AW10" s="736" t="s">
        <v>1422</v>
      </c>
      <c r="AX10" s="736" t="s">
        <v>1422</v>
      </c>
      <c r="AZ10" s="736" t="s">
        <v>1423</v>
      </c>
      <c r="BB10" s="736" t="s">
        <v>1424</v>
      </c>
      <c r="BC10" s="736" t="s">
        <v>1342</v>
      </c>
      <c r="BE10" s="736">
        <v>2008</v>
      </c>
      <c r="BF10" s="736" t="s">
        <v>1425</v>
      </c>
      <c r="BH10" s="741" t="s">
        <v>1426</v>
      </c>
      <c r="BJ10" s="741" t="s">
        <v>1427</v>
      </c>
      <c r="BL10" s="741" t="s">
        <v>1427</v>
      </c>
      <c r="BN10" s="741" t="s">
        <v>1428</v>
      </c>
      <c r="BQ10" s="736">
        <v>4213778</v>
      </c>
      <c r="BR10" s="741" t="s">
        <v>180</v>
      </c>
      <c r="BS10" s="56"/>
      <c r="BT10" s="736">
        <v>64236876</v>
      </c>
      <c r="BU10" s="741" t="s">
        <v>224</v>
      </c>
      <c r="BV10" s="450"/>
      <c r="BW10"/>
      <c r="BX10"/>
    </row>
    <row r="11" customHeight="1" spans="1:76">
      <c r="A11" s="80" t="s">
        <v>1429</v>
      </c>
      <c r="B11" s="685">
        <v>2009</v>
      </c>
      <c r="E11" s="686" t="s">
        <v>1430</v>
      </c>
      <c r="F11" s="35"/>
      <c r="G11" s="686" t="s">
        <v>1431</v>
      </c>
      <c r="H11" s="686" t="s">
        <v>1432</v>
      </c>
      <c r="I11" s="686" t="s">
        <v>151</v>
      </c>
      <c r="J11" s="686" t="s">
        <v>1433</v>
      </c>
      <c r="K11" s="715" t="s">
        <v>1434</v>
      </c>
      <c r="O11" s="686" t="s">
        <v>1435</v>
      </c>
      <c r="V11" s="729" t="s">
        <v>151</v>
      </c>
      <c r="W11" s="732"/>
      <c r="X11" s="728" t="s">
        <v>1405</v>
      </c>
      <c r="Y11" s="685" t="s">
        <v>1436</v>
      </c>
      <c r="Z11" s="500"/>
      <c r="AP11" s="4" t="s">
        <v>192</v>
      </c>
      <c r="AQ11" s="710" t="s">
        <v>192</v>
      </c>
      <c r="AW11" s="736" t="s">
        <v>1437</v>
      </c>
      <c r="AX11" s="736" t="s">
        <v>1437</v>
      </c>
      <c r="AZ11" s="736" t="s">
        <v>1438</v>
      </c>
      <c r="BB11" s="736" t="s">
        <v>1439</v>
      </c>
      <c r="BC11" s="736" t="s">
        <v>1342</v>
      </c>
      <c r="BE11" s="736">
        <v>2009</v>
      </c>
      <c r="BF11" s="736" t="s">
        <v>1440</v>
      </c>
      <c r="BH11" s="741" t="s">
        <v>1441</v>
      </c>
      <c r="BJ11" s="741" t="s">
        <v>1410</v>
      </c>
      <c r="BL11" s="741" t="s">
        <v>1410</v>
      </c>
      <c r="BN11" s="741" t="s">
        <v>1442</v>
      </c>
      <c r="BQ11" s="736">
        <v>4213780</v>
      </c>
      <c r="BR11" s="741" t="s">
        <v>186</v>
      </c>
      <c r="BS11" s="56"/>
      <c r="BW11"/>
      <c r="BX11"/>
    </row>
    <row r="12" customHeight="1" spans="1:76">
      <c r="A12" s="80" t="s">
        <v>1443</v>
      </c>
      <c r="B12" s="685">
        <v>2010</v>
      </c>
      <c r="E12" s="686" t="s">
        <v>1444</v>
      </c>
      <c r="F12" s="35"/>
      <c r="G12" s="686" t="s">
        <v>1432</v>
      </c>
      <c r="I12" s="686" t="s">
        <v>152</v>
      </c>
      <c r="J12" s="686" t="s">
        <v>1445</v>
      </c>
      <c r="K12" s="715" t="s">
        <v>1446</v>
      </c>
      <c r="O12" s="686" t="s">
        <v>1236</v>
      </c>
      <c r="V12" s="729" t="s">
        <v>152</v>
      </c>
      <c r="W12" s="710"/>
      <c r="X12" s="728" t="s">
        <v>1447</v>
      </c>
      <c r="Y12" s="685" t="s">
        <v>1242</v>
      </c>
      <c r="AP12" s="4"/>
      <c r="AW12" s="736" t="s">
        <v>151</v>
      </c>
      <c r="AX12" s="736" t="s">
        <v>151</v>
      </c>
      <c r="AZ12" s="736" t="s">
        <v>1448</v>
      </c>
      <c r="BB12" s="736" t="s">
        <v>1449</v>
      </c>
      <c r="BC12" s="736" t="s">
        <v>1342</v>
      </c>
      <c r="BE12" s="736">
        <v>2010</v>
      </c>
      <c r="BF12" s="736" t="s">
        <v>1450</v>
      </c>
      <c r="BH12" s="741" t="s">
        <v>1451</v>
      </c>
      <c r="BJ12" s="741" t="s">
        <v>1452</v>
      </c>
      <c r="BL12" s="741" t="s">
        <v>1452</v>
      </c>
      <c r="BN12" s="741" t="s">
        <v>1453</v>
      </c>
      <c r="BQ12" s="736">
        <v>4213779</v>
      </c>
      <c r="BR12" s="741" t="s">
        <v>1405</v>
      </c>
      <c r="BS12" s="56"/>
      <c r="BT12" s="450"/>
      <c r="BU12" s="450"/>
      <c r="BV12" s="450"/>
      <c r="BW12"/>
      <c r="BX12"/>
    </row>
    <row r="13" customHeight="1" spans="1:76">
      <c r="A13" s="80" t="s">
        <v>1454</v>
      </c>
      <c r="B13" s="685">
        <v>2011</v>
      </c>
      <c r="E13" s="686" t="s">
        <v>1455</v>
      </c>
      <c r="F13" s="35"/>
      <c r="I13" s="686" t="s">
        <v>153</v>
      </c>
      <c r="K13" s="715" t="s">
        <v>1404</v>
      </c>
      <c r="V13" s="729" t="s">
        <v>153</v>
      </c>
      <c r="W13" s="710"/>
      <c r="X13" s="710"/>
      <c r="Y13" s="710"/>
      <c r="AW13" s="736" t="s">
        <v>152</v>
      </c>
      <c r="AX13" s="736" t="s">
        <v>152</v>
      </c>
      <c r="BB13" s="736" t="s">
        <v>1456</v>
      </c>
      <c r="BC13" s="736" t="s">
        <v>1457</v>
      </c>
      <c r="BE13" s="736">
        <v>2011</v>
      </c>
      <c r="BF13" s="736" t="s">
        <v>1458</v>
      </c>
      <c r="BH13" s="741" t="s">
        <v>1459</v>
      </c>
      <c r="BJ13" s="741" t="s">
        <v>1441</v>
      </c>
      <c r="BL13" s="741" t="s">
        <v>1441</v>
      </c>
      <c r="BN13" s="741" t="s">
        <v>1460</v>
      </c>
      <c r="BQ13" s="736">
        <v>4213783</v>
      </c>
      <c r="BR13" s="741" t="s">
        <v>1420</v>
      </c>
      <c r="BS13" s="56"/>
      <c r="BT13" s="450"/>
      <c r="BU13" s="450"/>
      <c r="BV13" s="450"/>
      <c r="BW13" s="450"/>
      <c r="BX13"/>
    </row>
    <row r="14" customHeight="1" spans="1:76">
      <c r="A14" s="80" t="s">
        <v>1461</v>
      </c>
      <c r="B14" s="685">
        <v>2012</v>
      </c>
      <c r="I14" s="686" t="s">
        <v>154</v>
      </c>
      <c r="J14" s="684" t="s">
        <v>1462</v>
      </c>
      <c r="N14" s="684" t="s">
        <v>1463</v>
      </c>
      <c r="V14" s="727">
        <v>13</v>
      </c>
      <c r="W14" s="728"/>
      <c r="X14" s="728" t="s">
        <v>1275</v>
      </c>
      <c r="Y14" s="685" t="s">
        <v>1242</v>
      </c>
      <c r="AW14" s="736" t="s">
        <v>153</v>
      </c>
      <c r="AX14" s="736" t="s">
        <v>153</v>
      </c>
      <c r="AZ14" s="684" t="s">
        <v>1464</v>
      </c>
      <c r="BB14" s="736" t="s">
        <v>1465</v>
      </c>
      <c r="BC14" s="736" t="s">
        <v>1457</v>
      </c>
      <c r="BE14" s="736">
        <v>2012</v>
      </c>
      <c r="BH14" s="741" t="s">
        <v>1380</v>
      </c>
      <c r="BJ14" s="742" t="s">
        <v>1466</v>
      </c>
      <c r="BL14" s="742" t="s">
        <v>1466</v>
      </c>
      <c r="BN14" s="741" t="s">
        <v>1467</v>
      </c>
      <c r="BQ14" s="736">
        <v>4213782</v>
      </c>
      <c r="BR14" s="741" t="s">
        <v>192</v>
      </c>
      <c r="BS14" s="56"/>
      <c r="BT14" s="450"/>
      <c r="BU14" s="450"/>
      <c r="BV14" s="450"/>
      <c r="BW14" s="450"/>
      <c r="BX14"/>
    </row>
    <row r="15" ht="19.5" customHeight="1" spans="1:76">
      <c r="A15" s="80" t="s">
        <v>1468</v>
      </c>
      <c r="B15" s="685">
        <v>2013</v>
      </c>
      <c r="E15" s="687" t="s">
        <v>1469</v>
      </c>
      <c r="G15" s="684" t="s">
        <v>1470</v>
      </c>
      <c r="H15" s="684" t="s">
        <v>1471</v>
      </c>
      <c r="I15" s="58" t="s">
        <v>155</v>
      </c>
      <c r="J15" s="710" t="s">
        <v>593</v>
      </c>
      <c r="N15" s="716" t="s">
        <v>1472</v>
      </c>
      <c r="X15" s="4"/>
      <c r="AW15" s="736" t="s">
        <v>154</v>
      </c>
      <c r="AX15" s="736" t="s">
        <v>154</v>
      </c>
      <c r="AZ15" s="736" t="s">
        <v>1391</v>
      </c>
      <c r="BB15" s="736" t="s">
        <v>1473</v>
      </c>
      <c r="BC15" s="736" t="s">
        <v>1457</v>
      </c>
      <c r="BE15" s="736">
        <v>2013</v>
      </c>
      <c r="BH15" s="741" t="s">
        <v>1396</v>
      </c>
      <c r="BJ15" s="742" t="s">
        <v>1474</v>
      </c>
      <c r="BL15" s="742" t="s">
        <v>1474</v>
      </c>
      <c r="BN15" s="741" t="s">
        <v>1475</v>
      </c>
      <c r="BR15" s="450"/>
      <c r="BS15" s="450"/>
      <c r="BT15" s="450"/>
      <c r="BU15" s="450"/>
      <c r="BV15" s="450"/>
      <c r="BW15" s="450"/>
      <c r="BX15"/>
    </row>
    <row r="16" ht="21" customHeight="1" spans="1:76">
      <c r="A16" s="688" t="s">
        <v>1476</v>
      </c>
      <c r="B16" s="685">
        <v>2014</v>
      </c>
      <c r="E16" s="689" t="s">
        <v>1477</v>
      </c>
      <c r="G16" s="686" t="s">
        <v>1478</v>
      </c>
      <c r="H16" s="686" t="s">
        <v>1479</v>
      </c>
      <c r="I16" s="58" t="s">
        <v>1480</v>
      </c>
      <c r="J16" s="710" t="s">
        <v>566</v>
      </c>
      <c r="N16" s="716" t="s">
        <v>1481</v>
      </c>
      <c r="AW16" s="736" t="s">
        <v>155</v>
      </c>
      <c r="AX16" s="736" t="s">
        <v>155</v>
      </c>
      <c r="AZ16" s="736" t="s">
        <v>1407</v>
      </c>
      <c r="BB16" s="736" t="s">
        <v>1482</v>
      </c>
      <c r="BC16" s="736" t="s">
        <v>1457</v>
      </c>
      <c r="BE16" s="736">
        <v>2014</v>
      </c>
      <c r="BH16" s="741" t="s">
        <v>1412</v>
      </c>
      <c r="BJ16" s="742" t="s">
        <v>1483</v>
      </c>
      <c r="BL16" s="742" t="s">
        <v>1483</v>
      </c>
      <c r="BN16" s="741" t="s">
        <v>1484</v>
      </c>
      <c r="BR16" s="450"/>
      <c r="BS16" s="450"/>
      <c r="BT16" s="450"/>
      <c r="BU16" s="450"/>
      <c r="BV16" s="450"/>
      <c r="BW16" s="450"/>
      <c r="BX16"/>
    </row>
    <row r="17" ht="21" customHeight="1" spans="1:82">
      <c r="A17" s="80" t="s">
        <v>1485</v>
      </c>
      <c r="B17" s="685">
        <v>2015</v>
      </c>
      <c r="G17" s="686" t="s">
        <v>1432</v>
      </c>
      <c r="H17" s="686" t="s">
        <v>1432</v>
      </c>
      <c r="I17" s="686" t="s">
        <v>1486</v>
      </c>
      <c r="N17" s="716" t="s">
        <v>1487</v>
      </c>
      <c r="X17" s="4"/>
      <c r="AW17" s="736" t="s">
        <v>1480</v>
      </c>
      <c r="AX17" s="736" t="s">
        <v>1480</v>
      </c>
      <c r="AZ17" s="736" t="s">
        <v>1488</v>
      </c>
      <c r="BB17" s="736" t="s">
        <v>1489</v>
      </c>
      <c r="BC17" s="736" t="s">
        <v>1342</v>
      </c>
      <c r="BE17" s="736">
        <v>2015</v>
      </c>
      <c r="BH17" s="741" t="s">
        <v>1428</v>
      </c>
      <c r="BJ17" s="742" t="s">
        <v>1490</v>
      </c>
      <c r="BL17" s="742" t="s">
        <v>1490</v>
      </c>
      <c r="BN17" s="741" t="s">
        <v>1491</v>
      </c>
      <c r="BR17" s="684" t="s">
        <v>1285</v>
      </c>
      <c r="BS17" s="744"/>
      <c r="BU17" s="684" t="s">
        <v>1492</v>
      </c>
      <c r="BV17" s="450"/>
      <c r="BW17"/>
      <c r="BX17" s="684" t="s">
        <v>1493</v>
      </c>
      <c r="CA17" s="684" t="s">
        <v>1494</v>
      </c>
      <c r="CD17" s="684" t="s">
        <v>1495</v>
      </c>
    </row>
    <row r="18" ht="21" customHeight="1" spans="1:82">
      <c r="A18" s="80" t="s">
        <v>1496</v>
      </c>
      <c r="B18" s="685">
        <v>2016</v>
      </c>
      <c r="E18" s="690" t="s">
        <v>1497</v>
      </c>
      <c r="I18" s="686" t="s">
        <v>1498</v>
      </c>
      <c r="N18" s="716" t="s">
        <v>1499</v>
      </c>
      <c r="X18" s="4"/>
      <c r="AW18" s="736" t="s">
        <v>1486</v>
      </c>
      <c r="AX18" s="736" t="s">
        <v>1486</v>
      </c>
      <c r="BB18" s="736" t="s">
        <v>1500</v>
      </c>
      <c r="BC18" s="736" t="s">
        <v>1342</v>
      </c>
      <c r="BE18" s="736">
        <v>2016</v>
      </c>
      <c r="BH18" s="741" t="s">
        <v>1442</v>
      </c>
      <c r="BJ18" s="742" t="s">
        <v>1501</v>
      </c>
      <c r="BL18" s="742" t="s">
        <v>1501</v>
      </c>
      <c r="BN18" s="741" t="s">
        <v>1502</v>
      </c>
      <c r="BQ18" s="745" t="s">
        <v>1315</v>
      </c>
      <c r="BR18" s="4" t="s">
        <v>1316</v>
      </c>
      <c r="BS18" s="4"/>
      <c r="BT18" s="745" t="s">
        <v>1503</v>
      </c>
      <c r="BU18" s="4" t="s">
        <v>1504</v>
      </c>
      <c r="BV18" s="450"/>
      <c r="BW18" s="745" t="s">
        <v>1505</v>
      </c>
      <c r="BX18" s="4" t="s">
        <v>1506</v>
      </c>
      <c r="BZ18" s="745" t="s">
        <v>1507</v>
      </c>
      <c r="CA18" s="4" t="s">
        <v>1508</v>
      </c>
      <c r="CC18" s="745" t="s">
        <v>1509</v>
      </c>
      <c r="CD18" s="4" t="s">
        <v>1510</v>
      </c>
    </row>
    <row r="19" ht="21" customHeight="1" spans="1:82">
      <c r="A19" s="688" t="s">
        <v>1511</v>
      </c>
      <c r="B19" s="685">
        <v>2017</v>
      </c>
      <c r="E19" s="80" t="s">
        <v>167</v>
      </c>
      <c r="I19" s="686" t="s">
        <v>1512</v>
      </c>
      <c r="N19" s="716" t="s">
        <v>1513</v>
      </c>
      <c r="X19" s="4"/>
      <c r="AW19" s="736" t="s">
        <v>1498</v>
      </c>
      <c r="AX19" s="736" t="s">
        <v>1498</v>
      </c>
      <c r="AZ19" s="684" t="s">
        <v>1514</v>
      </c>
      <c r="BB19" s="736" t="s">
        <v>1515</v>
      </c>
      <c r="BC19" s="736" t="s">
        <v>1342</v>
      </c>
      <c r="BE19" s="736">
        <v>2017</v>
      </c>
      <c r="BH19" s="741" t="s">
        <v>1516</v>
      </c>
      <c r="BJ19" s="742" t="s">
        <v>1517</v>
      </c>
      <c r="BL19" s="742" t="s">
        <v>1517</v>
      </c>
      <c r="BQ19" s="736">
        <v>4190064</v>
      </c>
      <c r="BR19" s="741" t="s">
        <v>1518</v>
      </c>
      <c r="BS19" s="56"/>
      <c r="BT19" s="736">
        <v>4189671</v>
      </c>
      <c r="BU19" s="741" t="s">
        <v>1519</v>
      </c>
      <c r="BV19" s="450"/>
      <c r="BW19" s="736">
        <v>4189706</v>
      </c>
      <c r="BX19" s="741" t="s">
        <v>1520</v>
      </c>
      <c r="BZ19" s="736">
        <v>4189714</v>
      </c>
      <c r="CA19" s="741" t="s">
        <v>1521</v>
      </c>
      <c r="CC19" s="736">
        <v>4189708</v>
      </c>
      <c r="CD19" s="741" t="s">
        <v>1522</v>
      </c>
    </row>
    <row r="20" ht="21" customHeight="1" spans="1:82">
      <c r="A20" s="80" t="s">
        <v>1523</v>
      </c>
      <c r="B20" s="685">
        <v>2018</v>
      </c>
      <c r="E20" s="80" t="s">
        <v>1275</v>
      </c>
      <c r="I20" s="686" t="s">
        <v>1524</v>
      </c>
      <c r="N20" s="716" t="s">
        <v>1525</v>
      </c>
      <c r="AW20" s="736" t="s">
        <v>1512</v>
      </c>
      <c r="AX20" s="736" t="s">
        <v>1512</v>
      </c>
      <c r="AZ20" s="736" t="s">
        <v>1526</v>
      </c>
      <c r="BB20" s="736" t="s">
        <v>1527</v>
      </c>
      <c r="BC20" s="736" t="s">
        <v>1457</v>
      </c>
      <c r="BE20" s="736">
        <v>2018</v>
      </c>
      <c r="BH20" s="741" t="s">
        <v>1453</v>
      </c>
      <c r="BJ20" s="741" t="s">
        <v>1380</v>
      </c>
      <c r="BL20" s="741" t="s">
        <v>1380</v>
      </c>
      <c r="BQ20" s="736">
        <v>4190065</v>
      </c>
      <c r="BR20" s="741" t="s">
        <v>1528</v>
      </c>
      <c r="BS20" s="56"/>
      <c r="BT20" s="736">
        <v>4189672</v>
      </c>
      <c r="BU20" s="741" t="s">
        <v>1529</v>
      </c>
      <c r="BV20" s="450"/>
      <c r="BW20" s="736">
        <v>4189705</v>
      </c>
      <c r="BX20" s="741" t="s">
        <v>1530</v>
      </c>
      <c r="BZ20" s="736">
        <v>4189713</v>
      </c>
      <c r="CA20" s="741" t="s">
        <v>1530</v>
      </c>
      <c r="CC20" s="736">
        <v>4189709</v>
      </c>
      <c r="CD20" s="741" t="s">
        <v>1531</v>
      </c>
    </row>
    <row r="21" ht="21" customHeight="1" spans="1:82">
      <c r="A21" s="80" t="s">
        <v>1532</v>
      </c>
      <c r="B21" s="685">
        <v>2019</v>
      </c>
      <c r="I21" s="686" t="s">
        <v>1533</v>
      </c>
      <c r="N21" s="716" t="s">
        <v>1534</v>
      </c>
      <c r="AW21" s="736" t="s">
        <v>1524</v>
      </c>
      <c r="AX21" s="736" t="s">
        <v>1524</v>
      </c>
      <c r="AZ21" s="736" t="s">
        <v>1535</v>
      </c>
      <c r="BB21" s="736" t="s">
        <v>1536</v>
      </c>
      <c r="BC21" s="736" t="s">
        <v>1342</v>
      </c>
      <c r="BE21" s="736">
        <v>2019</v>
      </c>
      <c r="BH21" s="741" t="s">
        <v>1460</v>
      </c>
      <c r="BJ21" s="741" t="s">
        <v>1396</v>
      </c>
      <c r="BL21" s="741" t="s">
        <v>1396</v>
      </c>
      <c r="BQ21" s="736">
        <v>4190066</v>
      </c>
      <c r="BR21" s="741" t="s">
        <v>1537</v>
      </c>
      <c r="BS21" s="56"/>
      <c r="BT21" s="736">
        <v>4189673</v>
      </c>
      <c r="BU21" s="741" t="s">
        <v>1538</v>
      </c>
      <c r="BV21" s="450"/>
      <c r="BW21" s="736">
        <v>4189707</v>
      </c>
      <c r="BX21" s="741" t="s">
        <v>1539</v>
      </c>
      <c r="BZ21" s="736">
        <v>4189712</v>
      </c>
      <c r="CA21" s="741" t="s">
        <v>1540</v>
      </c>
      <c r="CC21" s="736">
        <v>4189710</v>
      </c>
      <c r="CD21" s="741" t="s">
        <v>1541</v>
      </c>
    </row>
    <row r="22" ht="21" customHeight="1" spans="1:82">
      <c r="A22" s="80" t="s">
        <v>1542</v>
      </c>
      <c r="B22" s="685">
        <v>2020</v>
      </c>
      <c r="N22" s="716" t="s">
        <v>1543</v>
      </c>
      <c r="AW22" s="736" t="s">
        <v>1533</v>
      </c>
      <c r="AX22" s="736" t="s">
        <v>1533</v>
      </c>
      <c r="AZ22" s="736" t="s">
        <v>1544</v>
      </c>
      <c r="BB22" s="736" t="s">
        <v>1545</v>
      </c>
      <c r="BC22" s="736" t="s">
        <v>1342</v>
      </c>
      <c r="BE22" s="736">
        <v>2020</v>
      </c>
      <c r="BH22" s="741" t="s">
        <v>1467</v>
      </c>
      <c r="BJ22" s="741" t="s">
        <v>1412</v>
      </c>
      <c r="BL22" s="741" t="s">
        <v>1412</v>
      </c>
      <c r="BQ22" s="736">
        <v>4190067</v>
      </c>
      <c r="BR22" s="741" t="s">
        <v>1546</v>
      </c>
      <c r="BS22" s="56"/>
      <c r="BT22" s="736">
        <v>4189674</v>
      </c>
      <c r="BU22" s="741" t="s">
        <v>1547</v>
      </c>
      <c r="BV22" s="450"/>
      <c r="BW22" s="450"/>
      <c r="CC22" s="736">
        <v>4189711</v>
      </c>
      <c r="CD22" s="741" t="s">
        <v>298</v>
      </c>
    </row>
    <row r="23" ht="21" customHeight="1" spans="1:82">
      <c r="A23" s="80" t="s">
        <v>1548</v>
      </c>
      <c r="B23" s="685">
        <v>2021</v>
      </c>
      <c r="AW23" s="736" t="s">
        <v>1549</v>
      </c>
      <c r="AX23" s="736" t="s">
        <v>1549</v>
      </c>
      <c r="AZ23" s="736" t="s">
        <v>1550</v>
      </c>
      <c r="BB23" s="736" t="s">
        <v>1551</v>
      </c>
      <c r="BC23" s="736" t="s">
        <v>1252</v>
      </c>
      <c r="BE23" s="736">
        <v>2021</v>
      </c>
      <c r="BH23" s="741" t="s">
        <v>1475</v>
      </c>
      <c r="BJ23" s="741" t="s">
        <v>1428</v>
      </c>
      <c r="BL23" s="741" t="s">
        <v>1428</v>
      </c>
      <c r="BQ23" s="736">
        <v>4190068</v>
      </c>
      <c r="BR23" s="741" t="s">
        <v>1552</v>
      </c>
      <c r="BS23" s="56"/>
      <c r="BT23" s="736">
        <v>4189675</v>
      </c>
      <c r="BU23" s="741" t="s">
        <v>1553</v>
      </c>
      <c r="BV23" s="450"/>
      <c r="BW23" s="450"/>
      <c r="CC23" s="736">
        <v>5110778</v>
      </c>
      <c r="CD23" s="741" t="s">
        <v>1554</v>
      </c>
    </row>
    <row r="24" ht="21" customHeight="1" spans="1:82">
      <c r="A24" s="80" t="s">
        <v>1555</v>
      </c>
      <c r="B24" s="685">
        <v>2022</v>
      </c>
      <c r="AW24" s="736" t="s">
        <v>1556</v>
      </c>
      <c r="AX24" s="736" t="s">
        <v>1556</v>
      </c>
      <c r="AZ24" s="736" t="s">
        <v>1557</v>
      </c>
      <c r="BB24" s="736" t="s">
        <v>1558</v>
      </c>
      <c r="BC24" s="736" t="s">
        <v>1559</v>
      </c>
      <c r="BE24" s="736">
        <v>2022</v>
      </c>
      <c r="BH24" s="741" t="s">
        <v>1484</v>
      </c>
      <c r="BJ24" s="741" t="s">
        <v>1442</v>
      </c>
      <c r="BL24" s="741" t="s">
        <v>1442</v>
      </c>
      <c r="BQ24" s="736">
        <v>4190069</v>
      </c>
      <c r="BR24" s="741" t="s">
        <v>1560</v>
      </c>
      <c r="BS24" s="56"/>
      <c r="BT24" s="736">
        <v>4189676</v>
      </c>
      <c r="BU24" s="741" t="s">
        <v>1561</v>
      </c>
      <c r="BV24" s="450"/>
      <c r="BW24" s="450"/>
      <c r="CC24" s="736">
        <v>25575374</v>
      </c>
      <c r="CD24" s="741" t="s">
        <v>1562</v>
      </c>
    </row>
    <row r="25" customHeight="1" spans="1:75">
      <c r="A25" s="80" t="s">
        <v>1563</v>
      </c>
      <c r="B25" s="685">
        <v>2023</v>
      </c>
      <c r="AW25" s="736" t="s">
        <v>1564</v>
      </c>
      <c r="AX25" s="736" t="s">
        <v>1564</v>
      </c>
      <c r="AZ25" s="736" t="s">
        <v>1565</v>
      </c>
      <c r="BB25" s="736" t="s">
        <v>1566</v>
      </c>
      <c r="BC25" s="736" t="s">
        <v>1559</v>
      </c>
      <c r="BE25" s="736">
        <v>2023</v>
      </c>
      <c r="BH25" s="741" t="s">
        <v>1491</v>
      </c>
      <c r="BJ25" s="741" t="s">
        <v>1516</v>
      </c>
      <c r="BL25" s="741" t="s">
        <v>1516</v>
      </c>
      <c r="BQ25" s="736">
        <v>4190070</v>
      </c>
      <c r="BR25" s="741" t="s">
        <v>1567</v>
      </c>
      <c r="BS25" s="56"/>
      <c r="BT25" s="736">
        <v>4189677</v>
      </c>
      <c r="BU25" s="741" t="s">
        <v>1568</v>
      </c>
      <c r="BV25" s="450"/>
      <c r="BW25" s="450"/>
    </row>
    <row r="26" customHeight="1" spans="1:75">
      <c r="A26" s="80" t="s">
        <v>1569</v>
      </c>
      <c r="B26" s="685">
        <v>2024</v>
      </c>
      <c r="J26" s="717" t="s">
        <v>1570</v>
      </c>
      <c r="AX26" s="736" t="s">
        <v>1571</v>
      </c>
      <c r="AZ26" s="736" t="s">
        <v>1435</v>
      </c>
      <c r="BB26" s="736" t="s">
        <v>1572</v>
      </c>
      <c r="BC26" s="736" t="s">
        <v>1559</v>
      </c>
      <c r="BE26" s="736">
        <v>2024</v>
      </c>
      <c r="BH26" s="741" t="s">
        <v>1502</v>
      </c>
      <c r="BJ26" s="741" t="s">
        <v>1453</v>
      </c>
      <c r="BL26" s="741" t="s">
        <v>1453</v>
      </c>
      <c r="BQ26" s="736">
        <v>4190071</v>
      </c>
      <c r="BR26" s="741" t="s">
        <v>1573</v>
      </c>
      <c r="BS26" s="56"/>
      <c r="BV26" s="450"/>
      <c r="BW26" s="450"/>
    </row>
    <row r="27" customHeight="1" spans="1:75">
      <c r="A27" s="80" t="s">
        <v>1574</v>
      </c>
      <c r="B27" s="685">
        <v>2025</v>
      </c>
      <c r="J27" s="234" t="s">
        <v>521</v>
      </c>
      <c r="AX27" s="736" t="s">
        <v>1575</v>
      </c>
      <c r="BB27" s="736" t="s">
        <v>1576</v>
      </c>
      <c r="BC27" s="736" t="s">
        <v>1559</v>
      </c>
      <c r="BE27" s="736">
        <v>2025</v>
      </c>
      <c r="BH27" s="450" t="s">
        <v>28</v>
      </c>
      <c r="BJ27" s="741" t="s">
        <v>1460</v>
      </c>
      <c r="BL27" s="741" t="s">
        <v>1460</v>
      </c>
      <c r="BN27" s="450" t="s">
        <v>28</v>
      </c>
      <c r="BQ27" s="736">
        <v>4190072</v>
      </c>
      <c r="BR27" s="741" t="s">
        <v>1577</v>
      </c>
      <c r="BS27" s="56"/>
      <c r="BV27" s="450"/>
      <c r="BW27" s="450"/>
    </row>
    <row r="28" customHeight="1" spans="1:75">
      <c r="A28" s="80" t="s">
        <v>1578</v>
      </c>
      <c r="D28" s="80"/>
      <c r="E28" s="691"/>
      <c r="F28" s="691"/>
      <c r="H28" s="465" t="s">
        <v>1579</v>
      </c>
      <c r="AX28" s="736" t="s">
        <v>1580</v>
      </c>
      <c r="AZ28" s="684" t="s">
        <v>1581</v>
      </c>
      <c r="BB28" s="736" t="s">
        <v>1582</v>
      </c>
      <c r="BC28" s="736" t="s">
        <v>1583</v>
      </c>
      <c r="BE28" s="736">
        <v>2026</v>
      </c>
      <c r="BH28" s="450" t="s">
        <v>28</v>
      </c>
      <c r="BJ28" s="741" t="s">
        <v>1467</v>
      </c>
      <c r="BL28" s="741" t="s">
        <v>1467</v>
      </c>
      <c r="BN28" s="450" t="s">
        <v>28</v>
      </c>
      <c r="BQ28" s="736">
        <v>4190073</v>
      </c>
      <c r="BR28" s="741" t="s">
        <v>1584</v>
      </c>
      <c r="BS28" s="56"/>
      <c r="BV28" s="450"/>
      <c r="BW28" s="450"/>
    </row>
    <row r="29" customHeight="1" spans="1:64">
      <c r="A29" s="80" t="s">
        <v>1585</v>
      </c>
      <c r="D29" s="692" t="s">
        <v>1586</v>
      </c>
      <c r="E29" s="693" t="str">
        <f ca="1">IF(TEMPLATE_GROUP="","",INDEX(StartDateList,MATCH(TEMPLATE_GROUP,CodeTemplateList,0),1))</f>
        <v>01.01.2025</v>
      </c>
      <c r="F29" s="693" t="str">
        <f ca="1">IF(TEMPLATE_GROUP="","",INDEX(EndDateList,MATCH(TEMPLATE_GROUP,CodeTemplateList,0),1))</f>
        <v>31.12.2025</v>
      </c>
      <c r="H29" s="694" t="s">
        <v>1587</v>
      </c>
      <c r="AX29" s="736" t="s">
        <v>1588</v>
      </c>
      <c r="AZ29" s="736" t="s">
        <v>1237</v>
      </c>
      <c r="BB29" s="736" t="s">
        <v>1435</v>
      </c>
      <c r="BC29" s="500"/>
      <c r="BE29" s="736">
        <v>2027</v>
      </c>
      <c r="BJ29" s="741" t="s">
        <v>1475</v>
      </c>
      <c r="BL29" s="741" t="s">
        <v>1475</v>
      </c>
    </row>
    <row r="30" customHeight="1" spans="1:64">
      <c r="A30" s="80" t="s">
        <v>1589</v>
      </c>
      <c r="D30" s="695"/>
      <c r="E30" s="517"/>
      <c r="F30" s="517"/>
      <c r="AX30" s="736" t="s">
        <v>1590</v>
      </c>
      <c r="AZ30" s="736" t="s">
        <v>1264</v>
      </c>
      <c r="BE30" s="736">
        <v>2028</v>
      </c>
      <c r="BJ30" s="741" t="s">
        <v>1591</v>
      </c>
      <c r="BL30" s="741" t="s">
        <v>1591</v>
      </c>
    </row>
    <row r="31" ht="12.75" customHeight="1" spans="1:64">
      <c r="A31" s="80" t="s">
        <v>1592</v>
      </c>
      <c r="D31" s="80"/>
      <c r="E31" s="691"/>
      <c r="F31" s="691"/>
      <c r="H31" s="696"/>
      <c r="AX31" s="736" t="s">
        <v>1593</v>
      </c>
      <c r="AZ31" s="736" t="s">
        <v>1594</v>
      </c>
      <c r="BE31" s="736">
        <v>2029</v>
      </c>
      <c r="BJ31" s="741" t="s">
        <v>1595</v>
      </c>
      <c r="BL31" s="741" t="s">
        <v>1595</v>
      </c>
    </row>
    <row r="32" customHeight="1" spans="1:64">
      <c r="A32" s="80" t="s">
        <v>1596</v>
      </c>
      <c r="D32" s="692" t="s">
        <v>1597</v>
      </c>
      <c r="E32" s="693" t="str">
        <f ca="1">IF(TEMPLATE_GROUP="","",INDEX(StartDateList,MATCH(TEMPLATE_GROUP,CodeTemplateList,0),1))</f>
        <v>01.01.2025</v>
      </c>
      <c r="F32" s="693" t="str">
        <f ca="1">IF(TEMPLATE_GROUP="","",INDEX(EndDateList,MATCH(TEMPLATE_GROUP,CodeTemplateList,0),1))</f>
        <v>31.12.2025</v>
      </c>
      <c r="H32" s="697" t="s">
        <v>1598</v>
      </c>
      <c r="O32" s="80" t="s">
        <v>1235</v>
      </c>
      <c r="AX32" s="736" t="s">
        <v>1599</v>
      </c>
      <c r="AZ32" s="736" t="s">
        <v>1331</v>
      </c>
      <c r="BE32" s="736">
        <v>2030</v>
      </c>
      <c r="BJ32" s="741" t="s">
        <v>1484</v>
      </c>
      <c r="BL32" s="741" t="s">
        <v>1484</v>
      </c>
    </row>
    <row r="33" customHeight="1" spans="1:64">
      <c r="A33" s="80" t="s">
        <v>1600</v>
      </c>
      <c r="O33" s="80" t="s">
        <v>1261</v>
      </c>
      <c r="AX33" s="736" t="s">
        <v>1601</v>
      </c>
      <c r="AZ33" s="736" t="s">
        <v>1236</v>
      </c>
      <c r="BE33" s="736">
        <v>2031</v>
      </c>
      <c r="BJ33" s="741" t="s">
        <v>1491</v>
      </c>
      <c r="BL33" s="741" t="s">
        <v>1491</v>
      </c>
    </row>
    <row r="34" customHeight="1" spans="1:64">
      <c r="A34" s="80" t="s">
        <v>1602</v>
      </c>
      <c r="O34" s="80" t="s">
        <v>1296</v>
      </c>
      <c r="AX34" s="736" t="s">
        <v>1603</v>
      </c>
      <c r="BE34" s="736">
        <v>2032</v>
      </c>
      <c r="BJ34" s="741" t="s">
        <v>1502</v>
      </c>
      <c r="BL34" s="741" t="s">
        <v>1502</v>
      </c>
    </row>
    <row r="35" customHeight="1" spans="1:64">
      <c r="A35" s="80" t="s">
        <v>1604</v>
      </c>
      <c r="O35" s="80" t="s">
        <v>1329</v>
      </c>
      <c r="AX35" s="736" t="s">
        <v>1605</v>
      </c>
      <c r="AZ35" s="684" t="s">
        <v>1606</v>
      </c>
      <c r="BE35" s="736">
        <v>2033</v>
      </c>
      <c r="BL35" s="741" t="s">
        <v>1607</v>
      </c>
    </row>
    <row r="36" customHeight="1" spans="1:64">
      <c r="A36" s="688" t="s">
        <v>1608</v>
      </c>
      <c r="D36" s="698" t="s">
        <v>1609</v>
      </c>
      <c r="E36" s="699" t="s">
        <v>863</v>
      </c>
      <c r="F36" s="700" t="str">
        <f>INDEX(E37:E41,MATCH(TEMPLATE_SPHERE,F37:F41,0))</f>
        <v>холодного водоснабжения</v>
      </c>
      <c r="G36" s="700" t="str">
        <f>INDEX(G37:G41,MATCH(TEMPLATE_SPHERE,F37:F41,0))</f>
        <v>холодное водоснабжение</v>
      </c>
      <c r="O36" s="80" t="s">
        <v>1353</v>
      </c>
      <c r="AX36" s="736" t="s">
        <v>1610</v>
      </c>
      <c r="AZ36" s="736" t="s">
        <v>1236</v>
      </c>
      <c r="BE36" s="736">
        <v>2034</v>
      </c>
      <c r="BL36" s="741" t="s">
        <v>1611</v>
      </c>
    </row>
    <row r="37" customHeight="1" spans="1:57">
      <c r="A37" s="80" t="s">
        <v>1612</v>
      </c>
      <c r="E37" s="701" t="s">
        <v>1613</v>
      </c>
      <c r="F37" s="702" t="s">
        <v>817</v>
      </c>
      <c r="G37" s="701" t="s">
        <v>1614</v>
      </c>
      <c r="O37" s="80" t="s">
        <v>1371</v>
      </c>
      <c r="AX37" s="736" t="s">
        <v>1615</v>
      </c>
      <c r="AZ37" s="736" t="s">
        <v>1263</v>
      </c>
      <c r="BE37" s="736">
        <v>2035</v>
      </c>
    </row>
    <row r="38" customHeight="1" spans="1:66">
      <c r="A38" s="80" t="s">
        <v>1616</v>
      </c>
      <c r="E38" s="701" t="s">
        <v>1617</v>
      </c>
      <c r="F38" s="703" t="s">
        <v>863</v>
      </c>
      <c r="G38" s="701" t="s">
        <v>1618</v>
      </c>
      <c r="O38" s="80" t="s">
        <v>1387</v>
      </c>
      <c r="AX38" s="736" t="s">
        <v>1619</v>
      </c>
      <c r="AZ38" s="736" t="s">
        <v>1297</v>
      </c>
      <c r="BE38" s="736">
        <v>2036</v>
      </c>
      <c r="BH38" s="684" t="s">
        <v>1620</v>
      </c>
      <c r="BJ38" s="684" t="s">
        <v>1621</v>
      </c>
      <c r="BL38" s="684" t="s">
        <v>1622</v>
      </c>
      <c r="BN38" s="684" t="s">
        <v>1623</v>
      </c>
    </row>
    <row r="39" customHeight="1" spans="1:66">
      <c r="A39" s="80" t="s">
        <v>1624</v>
      </c>
      <c r="E39" s="701" t="s">
        <v>1625</v>
      </c>
      <c r="F39" s="703" t="s">
        <v>916</v>
      </c>
      <c r="G39" s="701" t="s">
        <v>1626</v>
      </c>
      <c r="O39" s="80" t="s">
        <v>1403</v>
      </c>
      <c r="AX39" s="736" t="s">
        <v>1627</v>
      </c>
      <c r="AZ39" s="736" t="s">
        <v>1330</v>
      </c>
      <c r="BE39" s="736">
        <v>2037</v>
      </c>
      <c r="BH39" s="741" t="s">
        <v>1628</v>
      </c>
      <c r="BJ39" s="742" t="s">
        <v>1628</v>
      </c>
      <c r="BL39" s="742" t="s">
        <v>1628</v>
      </c>
      <c r="BN39" s="741" t="s">
        <v>1629</v>
      </c>
    </row>
    <row r="40" customHeight="1" spans="1:66">
      <c r="A40" s="80" t="s">
        <v>1630</v>
      </c>
      <c r="E40" s="701" t="s">
        <v>1631</v>
      </c>
      <c r="F40" s="703" t="s">
        <v>903</v>
      </c>
      <c r="G40" s="701" t="s">
        <v>1632</v>
      </c>
      <c r="O40" s="80" t="s">
        <v>1419</v>
      </c>
      <c r="AX40" s="736" t="s">
        <v>1633</v>
      </c>
      <c r="BE40" s="736">
        <v>2038</v>
      </c>
      <c r="BH40" s="741" t="s">
        <v>1634</v>
      </c>
      <c r="BJ40" s="742" t="s">
        <v>1036</v>
      </c>
      <c r="BL40" s="742" t="s">
        <v>1036</v>
      </c>
      <c r="BN40" s="741" t="s">
        <v>1070</v>
      </c>
    </row>
    <row r="41" customHeight="1" spans="1:66">
      <c r="A41" s="80" t="s">
        <v>1635</v>
      </c>
      <c r="E41" s="701" t="s">
        <v>1636</v>
      </c>
      <c r="F41" s="703" t="s">
        <v>1637</v>
      </c>
      <c r="G41" s="701" t="s">
        <v>1636</v>
      </c>
      <c r="O41" s="80" t="s">
        <v>1435</v>
      </c>
      <c r="AX41" s="736" t="s">
        <v>1638</v>
      </c>
      <c r="AZ41" s="684" t="s">
        <v>1639</v>
      </c>
      <c r="BE41" s="736">
        <v>2039</v>
      </c>
      <c r="BH41" s="741" t="s">
        <v>1640</v>
      </c>
      <c r="BJ41" s="742" t="s">
        <v>1032</v>
      </c>
      <c r="BL41" s="742" t="s">
        <v>1032</v>
      </c>
      <c r="BN41" s="741" t="s">
        <v>1057</v>
      </c>
    </row>
    <row r="42" customHeight="1" spans="1:66">
      <c r="A42" s="80" t="s">
        <v>1641</v>
      </c>
      <c r="AX42" s="736" t="s">
        <v>1642</v>
      </c>
      <c r="AZ42" s="736" t="s">
        <v>1235</v>
      </c>
      <c r="BE42" s="736">
        <v>2040</v>
      </c>
      <c r="BH42" s="741" t="s">
        <v>1054</v>
      </c>
      <c r="BJ42" s="742" t="s">
        <v>1034</v>
      </c>
      <c r="BL42" s="742" t="s">
        <v>1034</v>
      </c>
      <c r="BN42" s="741" t="s">
        <v>1643</v>
      </c>
    </row>
    <row r="43" customHeight="1" spans="1:66">
      <c r="A43" s="80" t="s">
        <v>1644</v>
      </c>
      <c r="AX43" s="736" t="s">
        <v>1645</v>
      </c>
      <c r="AZ43" s="736" t="s">
        <v>1261</v>
      </c>
      <c r="BE43" s="736">
        <v>2041</v>
      </c>
      <c r="BH43" s="741" t="s">
        <v>1646</v>
      </c>
      <c r="BJ43" s="742" t="s">
        <v>1640</v>
      </c>
      <c r="BL43" s="742" t="s">
        <v>1640</v>
      </c>
      <c r="BN43" s="741" t="s">
        <v>1647</v>
      </c>
    </row>
    <row r="44" customHeight="1" spans="1:66">
      <c r="A44" s="80" t="s">
        <v>1648</v>
      </c>
      <c r="G44" s="704">
        <f ca="1">YEAR(TODAY())</f>
        <v>2024</v>
      </c>
      <c r="I44" s="707" t="s">
        <v>1649</v>
      </c>
      <c r="J44" s="710" t="s">
        <v>1650</v>
      </c>
      <c r="K44" s="710" t="s">
        <v>1651</v>
      </c>
      <c r="AX44" s="736" t="s">
        <v>1652</v>
      </c>
      <c r="AZ44" s="736" t="s">
        <v>1296</v>
      </c>
      <c r="BE44" s="736">
        <v>2042</v>
      </c>
      <c r="BH44" s="741" t="s">
        <v>1653</v>
      </c>
      <c r="BJ44" s="742" t="s">
        <v>1054</v>
      </c>
      <c r="BL44" s="742" t="s">
        <v>1054</v>
      </c>
      <c r="BN44" s="741" t="s">
        <v>1654</v>
      </c>
    </row>
    <row r="45" customHeight="1" spans="1:66">
      <c r="A45" s="80" t="s">
        <v>1655</v>
      </c>
      <c r="D45" s="698" t="s">
        <v>1656</v>
      </c>
      <c r="E45" s="699" t="s">
        <v>1657</v>
      </c>
      <c r="F45" s="705" t="s">
        <v>1658</v>
      </c>
      <c r="G45" s="706" t="s">
        <v>1659</v>
      </c>
      <c r="H45" s="707" t="s">
        <v>1660</v>
      </c>
      <c r="I45" s="718" t="b">
        <f>INDEX(PeriodIsEmptyList,MATCH(TEMPLATE_GROUP,CodeTemplateList,0),1)</f>
        <v>0</v>
      </c>
      <c r="J45" s="719" t="str">
        <f>INDEX(NameTemplatesInTitleList,MATCH(TEMPLATE_GROUP,CodeTemplateList,0),1)</f>
        <v>Показатели, подлежащие раскрытию в сфере холодного водоснабжения (цены и тарифы)</v>
      </c>
      <c r="K45" s="71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736" t="s">
        <v>1661</v>
      </c>
      <c r="AZ45" s="736" t="s">
        <v>1329</v>
      </c>
      <c r="BE45" s="736">
        <v>2043</v>
      </c>
      <c r="BH45" s="741" t="s">
        <v>1662</v>
      </c>
      <c r="BJ45" s="742" t="s">
        <v>1048</v>
      </c>
      <c r="BL45" s="742" t="s">
        <v>1048</v>
      </c>
      <c r="BN45" s="741" t="s">
        <v>1663</v>
      </c>
    </row>
    <row r="46" customHeight="1" spans="1:66">
      <c r="A46" s="80" t="s">
        <v>1664</v>
      </c>
      <c r="E46" s="701" t="s">
        <v>26</v>
      </c>
      <c r="F46" s="702" t="s">
        <v>1665</v>
      </c>
      <c r="G46" s="708" t="str">
        <f ca="1">IFERROR(IF(TITLE_DATE_FIL="","01.01."&amp;CURRENT_YEAR,"01.01."&amp;YEAR(TITLE_DATE_FIL)),"01.01."&amp;CURRENT_YEAR)</f>
        <v>01.01.2024</v>
      </c>
      <c r="H46" s="708" t="str">
        <f ca="1">IFERROR(IF(TITLE_DATE_FIL="","31.12."&amp;CURRENT_YEAR,"31.12."&amp;YEAR(TITLE_DATE_FIL)),"31.12."&amp;CURRENT_YEAR)</f>
        <v>31.12.2024</v>
      </c>
      <c r="I46" s="720" t="b">
        <f>IF(TITLE_DATE_FIL="",TRUE,FALSE)</f>
        <v>1</v>
      </c>
      <c r="J46" s="721" t="str">
        <f>"Общая информация о регулируемой организации ("&amp;TEMPLATE_SPHERE_RUS&amp;")"</f>
        <v>Общая информация о регулируемой организации (холодного водоснабжения)</v>
      </c>
      <c r="K46" s="722"/>
      <c r="AX46" s="736" t="s">
        <v>1666</v>
      </c>
      <c r="AZ46" s="736" t="s">
        <v>1353</v>
      </c>
      <c r="BE46" s="736">
        <v>2044</v>
      </c>
      <c r="BH46" s="741" t="s">
        <v>1057</v>
      </c>
      <c r="BJ46" s="742" t="s">
        <v>1038</v>
      </c>
      <c r="BL46" s="742" t="s">
        <v>1038</v>
      </c>
      <c r="BN46" s="741" t="s">
        <v>1667</v>
      </c>
    </row>
    <row r="47" customHeight="1" spans="1:66">
      <c r="A47" s="80" t="s">
        <v>1668</v>
      </c>
      <c r="E47" s="701" t="s">
        <v>33</v>
      </c>
      <c r="F47" s="703" t="s">
        <v>1669</v>
      </c>
      <c r="G47" s="708" t="str">
        <f ca="1">IFERROR(IF(f_year="","01.01."&amp;CURRENT_YEAR,IF(LEN(f_quart)=0,"01.01."&amp;f_year,IF(f_quart="I квартал","01.01."&amp;f_year,IF(f_quart="II квартал","01.04."&amp;f_year,(IF(f_quart="III квартал","01.07."&amp;f_year,"01.10."&amp;f_year)))))),"01.01."&amp;CURRENT_YEAR)</f>
        <v>01.01.2024</v>
      </c>
      <c r="H47" s="708" t="str">
        <f ca="1">IFERROR(IF(f_year="","31.12."&amp;CURRENT_YEAR,IF(LEN(f_quart)=0,"31.12."&amp;f_year,IF(f_quart="I квартал","31.03."&amp;f_year,IF(f_quart="II квартал","30.06."&amp;f_year,(IF(f_quart="III квартал","30.09."&amp;f_year,"31.12."&amp;f_year)))))),"31.12."&amp;CURRENT_YEAR)</f>
        <v>31.12.2024</v>
      </c>
      <c r="I47" s="723" t="b">
        <f>IF(OR(f_year="",f_quart=""),TRUE,FALSE)</f>
        <v>1</v>
      </c>
      <c r="J47" s="72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722"/>
      <c r="AX47" s="736" t="s">
        <v>1670</v>
      </c>
      <c r="AZ47" s="736" t="s">
        <v>1371</v>
      </c>
      <c r="BE47" s="736">
        <v>2045</v>
      </c>
      <c r="BH47" s="741" t="s">
        <v>1643</v>
      </c>
      <c r="BJ47" s="742" t="s">
        <v>1040</v>
      </c>
      <c r="BL47" s="742" t="s">
        <v>1040</v>
      </c>
      <c r="BN47" s="741" t="s">
        <v>1671</v>
      </c>
    </row>
    <row r="48" customHeight="1" spans="1:66">
      <c r="A48" s="80" t="s">
        <v>1672</v>
      </c>
      <c r="E48" s="701" t="s">
        <v>1673</v>
      </c>
      <c r="F48" s="703" t="s">
        <v>1674</v>
      </c>
      <c r="G48" s="708" t="str">
        <f ca="1">IFERROR(IF(f_year="","01.01."&amp;CURRENT_YEAR,"01.01."&amp;f_year),"01.01."&amp;CURRENT_YEAR)</f>
        <v>01.01.2024</v>
      </c>
      <c r="H48" s="708" t="str">
        <f ca="1">IFERROR(IF(f_year="","31.12."&amp;CURRENT_YEAR,"31.12."&amp;f_year),"31.12."&amp;CURRENT_YEAR)</f>
        <v>31.12.2024</v>
      </c>
      <c r="I48" s="720" t="b">
        <f>IF(f_year="",TRUE,FALSE)</f>
        <v>1</v>
      </c>
      <c r="J48" s="721" t="s">
        <v>1675</v>
      </c>
      <c r="K48" s="722"/>
      <c r="AX48" s="736" t="s">
        <v>1676</v>
      </c>
      <c r="AZ48" s="736" t="s">
        <v>1387</v>
      </c>
      <c r="BE48" s="736">
        <v>2046</v>
      </c>
      <c r="BH48" s="741" t="s">
        <v>1647</v>
      </c>
      <c r="BJ48" s="742" t="s">
        <v>1042</v>
      </c>
      <c r="BL48" s="742" t="s">
        <v>1042</v>
      </c>
      <c r="BN48" s="741" t="s">
        <v>1677</v>
      </c>
    </row>
    <row r="49" customHeight="1" spans="1:64">
      <c r="A49" s="80" t="s">
        <v>1678</v>
      </c>
      <c r="E49" s="701" t="s">
        <v>1679</v>
      </c>
      <c r="F49" s="703" t="s">
        <v>1680</v>
      </c>
      <c r="G49" s="708" t="str">
        <f ca="1">IFERROR(IF(f_year="","01.01."&amp;CURRENT_YEAR,"01.01."&amp;f_year),"01.01."&amp;CURRENT_YEAR)</f>
        <v>01.01.2024</v>
      </c>
      <c r="H49" s="708" t="str">
        <f ca="1">IFERROR(IF(f_year="","31.12."&amp;CURRENT_YEAR,"31.12."&amp;f_year),"31.12."&amp;CURRENT_YEAR)</f>
        <v>31.12.2024</v>
      </c>
      <c r="I49" s="720" t="b">
        <f>IF(f_year="",TRUE,FALSE)</f>
        <v>1</v>
      </c>
      <c r="J49" s="72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722"/>
      <c r="AX49" s="736" t="s">
        <v>1681</v>
      </c>
      <c r="AZ49" s="736" t="s">
        <v>1403</v>
      </c>
      <c r="BE49" s="736">
        <v>2047</v>
      </c>
      <c r="BH49" s="741" t="s">
        <v>1058</v>
      </c>
      <c r="BJ49" s="742" t="s">
        <v>1044</v>
      </c>
      <c r="BL49" s="742" t="s">
        <v>1044</v>
      </c>
    </row>
    <row r="50" customHeight="1" spans="1:64">
      <c r="A50" s="80" t="s">
        <v>1682</v>
      </c>
      <c r="E50" s="701" t="s">
        <v>1683</v>
      </c>
      <c r="F50" s="703" t="s">
        <v>1028</v>
      </c>
      <c r="G50" s="708" t="str">
        <f ca="1">IFERROR(IF(f_year="","01.01."&amp;CURRENT_YEAR,"01.01."&amp;f_year),"01.01."&amp;CURRENT_YEAR)</f>
        <v>01.01.2024</v>
      </c>
      <c r="H50" s="708" t="str">
        <f ca="1">IFERROR(IF(f_year="","31.12."&amp;CURRENT_YEAR,"31.12."&amp;f_year),"31.12."&amp;CURRENT_YEAR)</f>
        <v>31.12.2024</v>
      </c>
      <c r="I50" s="720" t="b">
        <f>IF(f_year="",TRUE,FALSE)</f>
        <v>1</v>
      </c>
      <c r="J50" s="72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722"/>
      <c r="AX50" s="736" t="s">
        <v>1684</v>
      </c>
      <c r="AZ50" s="736" t="s">
        <v>1419</v>
      </c>
      <c r="BE50" s="736">
        <v>2048</v>
      </c>
      <c r="BH50" s="741" t="s">
        <v>1654</v>
      </c>
      <c r="BJ50" s="742" t="s">
        <v>1046</v>
      </c>
      <c r="BL50" s="742" t="s">
        <v>1046</v>
      </c>
    </row>
    <row r="51" customHeight="1" spans="1:64">
      <c r="A51" s="80" t="s">
        <v>1685</v>
      </c>
      <c r="E51" s="701" t="s">
        <v>1686</v>
      </c>
      <c r="F51" s="703" t="s">
        <v>1687</v>
      </c>
      <c r="G51" s="708" t="str">
        <f ca="1">IFERROR(IF(TITLE_PERIOD_START="","01.01."&amp;CURRENT_YEAR,"01.01."&amp;YEAR(TITLE_PERIOD_START)),"01.01."&amp;CURRENT_YEAR)</f>
        <v>01.01.2025</v>
      </c>
      <c r="H51" s="708" t="str">
        <f ca="1">IFERROR(IF(TITLE_PERIOD_END="","31.12."&amp;CURRENT_YEAR,"31.12."&amp;YEAR(TITLE_PERIOD_END)),"31.12."&amp;CURRENT_YEAR)</f>
        <v>31.12.2025</v>
      </c>
      <c r="I51" s="723" t="b">
        <f>IF(OR(TITLE_PERIOD_START="",TITLE_PERIOD_END=""),TRUE,FALSE)</f>
        <v>0</v>
      </c>
      <c r="J51" s="72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722"/>
      <c r="AX51" s="736" t="s">
        <v>1688</v>
      </c>
      <c r="AZ51" s="736" t="s">
        <v>1435</v>
      </c>
      <c r="BE51" s="736">
        <v>2049</v>
      </c>
      <c r="BH51" s="741" t="s">
        <v>1663</v>
      </c>
      <c r="BJ51" s="742" t="s">
        <v>1689</v>
      </c>
      <c r="BL51" s="742" t="s">
        <v>1689</v>
      </c>
    </row>
    <row r="52" customHeight="1" spans="1:64">
      <c r="A52" s="80" t="s">
        <v>1690</v>
      </c>
      <c r="E52" s="701" t="s">
        <v>1691</v>
      </c>
      <c r="F52" s="703" t="s">
        <v>1657</v>
      </c>
      <c r="G52" s="708" t="str">
        <f ca="1">IFERROR(IF(TITLE_PERIOD_START="","01.01."&amp;CURRENT_YEAR,"01.01."&amp;YEAR(TITLE_PERIOD_START)),"01.01."&amp;CURRENT_YEAR)</f>
        <v>01.01.2025</v>
      </c>
      <c r="H52" s="708" t="str">
        <f ca="1">IFERROR(IF(TITLE_PERIOD_END="","31.12."&amp;CURRENT_YEAR,"31.12."&amp;YEAR(TITLE_PERIOD_END)),"31.12."&amp;CURRENT_YEAR)</f>
        <v>31.12.2025</v>
      </c>
      <c r="I52" s="723" t="b">
        <f>IF(OR(TITLE_PERIOD_START="",TITLE_PERIOD_END=""),TRUE,FALSE)</f>
        <v>0</v>
      </c>
      <c r="J52" s="72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722"/>
      <c r="AX52" s="736" t="s">
        <v>1692</v>
      </c>
      <c r="AZ52" s="736" t="s">
        <v>1236</v>
      </c>
      <c r="BE52" s="736">
        <v>2050</v>
      </c>
      <c r="BH52" s="741" t="s">
        <v>1667</v>
      </c>
      <c r="BJ52" s="742" t="s">
        <v>1057</v>
      </c>
      <c r="BL52" s="742" t="s">
        <v>1057</v>
      </c>
    </row>
    <row r="53" customHeight="1" spans="1:64">
      <c r="A53" s="80" t="s">
        <v>1693</v>
      </c>
      <c r="E53" s="701" t="s">
        <v>1694</v>
      </c>
      <c r="F53" s="703" t="s">
        <v>1694</v>
      </c>
      <c r="G53" s="708" t="str">
        <f ca="1">IFERROR(IF(f_year="","01.01."&amp;CURRENT_YEAR,"01.01."&amp;f_year),"01.01."&amp;CURRENT_YEAR)</f>
        <v>01.01.2024</v>
      </c>
      <c r="H53" s="708" t="str">
        <f ca="1">IFERROR(IF(f_year="","31.12."&amp;CURRENT_YEAR,"31.12."&amp;f_year),"31.12."&amp;CURRENT_YEAR)</f>
        <v>31.12.2024</v>
      </c>
      <c r="I53" s="720" t="b">
        <f>IF(AND(f_year="",TITLE_DATE_FIL=""),TRUE,FALSE)</f>
        <v>1</v>
      </c>
      <c r="J53" s="721" t="s">
        <v>1695</v>
      </c>
      <c r="K53" s="722"/>
      <c r="AX53" s="736" t="s">
        <v>1696</v>
      </c>
      <c r="BE53" s="736">
        <v>2051</v>
      </c>
      <c r="BH53" s="741" t="s">
        <v>1671</v>
      </c>
      <c r="BJ53" s="742" t="s">
        <v>1643</v>
      </c>
      <c r="BL53" s="742" t="s">
        <v>1643</v>
      </c>
    </row>
    <row r="54" customHeight="1" spans="1:64">
      <c r="A54" s="80" t="s">
        <v>1697</v>
      </c>
      <c r="AX54" s="736" t="s">
        <v>1698</v>
      </c>
      <c r="AZ54" s="684" t="s">
        <v>1699</v>
      </c>
      <c r="BE54" s="736">
        <v>2052</v>
      </c>
      <c r="BH54" s="741" t="s">
        <v>1677</v>
      </c>
      <c r="BJ54" s="742" t="s">
        <v>1647</v>
      </c>
      <c r="BL54" s="742" t="s">
        <v>1647</v>
      </c>
    </row>
    <row r="55" customHeight="1" spans="1:64">
      <c r="A55" s="80" t="s">
        <v>1700</v>
      </c>
      <c r="AX55" s="736" t="s">
        <v>1701</v>
      </c>
      <c r="AZ55" s="736" t="s">
        <v>1238</v>
      </c>
      <c r="BE55" s="736">
        <v>2053</v>
      </c>
      <c r="BH55" s="450" t="s">
        <v>28</v>
      </c>
      <c r="BJ55" s="742" t="s">
        <v>1058</v>
      </c>
      <c r="BL55" s="742" t="s">
        <v>1058</v>
      </c>
    </row>
    <row r="56" customHeight="1" spans="1:64">
      <c r="A56" s="80" t="s">
        <v>1702</v>
      </c>
      <c r="D56" s="709" t="s">
        <v>1703</v>
      </c>
      <c r="E56" s="710" t="s">
        <v>113</v>
      </c>
      <c r="F56" s="80" t="s">
        <v>1704</v>
      </c>
      <c r="AX56" s="736" t="s">
        <v>1705</v>
      </c>
      <c r="AZ56" s="736" t="s">
        <v>1265</v>
      </c>
      <c r="BE56" s="736">
        <v>2054</v>
      </c>
      <c r="BH56" s="450" t="s">
        <v>28</v>
      </c>
      <c r="BJ56" s="742" t="s">
        <v>1654</v>
      </c>
      <c r="BL56" s="742" t="s">
        <v>1654</v>
      </c>
    </row>
    <row r="57" customHeight="1" spans="1:64">
      <c r="A57" s="80" t="s">
        <v>1706</v>
      </c>
      <c r="D57" s="709" t="s">
        <v>1707</v>
      </c>
      <c r="E57" s="710" t="s">
        <v>113</v>
      </c>
      <c r="F57" s="80" t="s">
        <v>1704</v>
      </c>
      <c r="AX57" s="736" t="s">
        <v>1708</v>
      </c>
      <c r="AZ57" s="736" t="s">
        <v>1299</v>
      </c>
      <c r="BE57" s="736">
        <v>2055</v>
      </c>
      <c r="BJ57" s="742" t="s">
        <v>1663</v>
      </c>
      <c r="BL57" s="742" t="s">
        <v>1663</v>
      </c>
    </row>
    <row r="58" customHeight="1" spans="1:64">
      <c r="A58" s="80" t="s">
        <v>1709</v>
      </c>
      <c r="D58" s="709" t="s">
        <v>1710</v>
      </c>
      <c r="E58" s="710" t="s">
        <v>113</v>
      </c>
      <c r="F58" s="80" t="s">
        <v>1704</v>
      </c>
      <c r="AX58" s="736" t="s">
        <v>1711</v>
      </c>
      <c r="BE58" s="736">
        <v>2056</v>
      </c>
      <c r="BJ58" s="742" t="s">
        <v>1667</v>
      </c>
      <c r="BL58" s="742" t="s">
        <v>1667</v>
      </c>
    </row>
    <row r="59" customHeight="1" spans="1:64">
      <c r="A59" s="80" t="s">
        <v>1712</v>
      </c>
      <c r="D59" s="709" t="s">
        <v>133</v>
      </c>
      <c r="E59" s="710" t="s">
        <v>1599</v>
      </c>
      <c r="F59" s="80" t="s">
        <v>1713</v>
      </c>
      <c r="AX59" s="736" t="s">
        <v>1714</v>
      </c>
      <c r="AZ59" s="684" t="s">
        <v>1715</v>
      </c>
      <c r="BE59" s="736">
        <v>2057</v>
      </c>
      <c r="BJ59" s="742" t="s">
        <v>1671</v>
      </c>
      <c r="BL59" s="742" t="s">
        <v>1671</v>
      </c>
    </row>
    <row r="60" customHeight="1" spans="1:64">
      <c r="A60" s="80" t="s">
        <v>1716</v>
      </c>
      <c r="D60" s="709" t="s">
        <v>1717</v>
      </c>
      <c r="E60" s="710" t="s">
        <v>1599</v>
      </c>
      <c r="F60" s="80" t="s">
        <v>1713</v>
      </c>
      <c r="AX60" s="736" t="s">
        <v>1718</v>
      </c>
      <c r="AZ60" s="736" t="s">
        <v>1239</v>
      </c>
      <c r="BE60" s="736">
        <v>2058</v>
      </c>
      <c r="BJ60" s="742" t="s">
        <v>1677</v>
      </c>
      <c r="BL60" s="742" t="s">
        <v>1677</v>
      </c>
    </row>
    <row r="61" customHeight="1" spans="1:64">
      <c r="A61" s="80" t="s">
        <v>1719</v>
      </c>
      <c r="D61" s="709" t="s">
        <v>1720</v>
      </c>
      <c r="E61" s="710" t="s">
        <v>1599</v>
      </c>
      <c r="F61" s="80" t="s">
        <v>1713</v>
      </c>
      <c r="AX61" s="736" t="s">
        <v>1721</v>
      </c>
      <c r="AZ61" s="736" t="s">
        <v>1266</v>
      </c>
      <c r="BE61" s="736">
        <v>2059</v>
      </c>
      <c r="BL61" s="742" t="s">
        <v>1050</v>
      </c>
    </row>
    <row r="62" customHeight="1" spans="1:64">
      <c r="A62" s="80" t="s">
        <v>1722</v>
      </c>
      <c r="D62" s="709" t="s">
        <v>132</v>
      </c>
      <c r="E62" s="710">
        <v>30</v>
      </c>
      <c r="F62" s="80" t="s">
        <v>1713</v>
      </c>
      <c r="AZ62" s="736" t="s">
        <v>1300</v>
      </c>
      <c r="BE62" s="736">
        <v>2060</v>
      </c>
      <c r="BL62" s="742" t="s">
        <v>1052</v>
      </c>
    </row>
    <row r="63" customHeight="1" spans="1:57">
      <c r="A63" s="80" t="s">
        <v>1723</v>
      </c>
      <c r="D63" s="709" t="s">
        <v>1724</v>
      </c>
      <c r="E63" s="710">
        <v>30</v>
      </c>
      <c r="F63" s="80" t="s">
        <v>1713</v>
      </c>
      <c r="AZ63" s="736" t="s">
        <v>1332</v>
      </c>
      <c r="BE63" s="736">
        <v>2061</v>
      </c>
    </row>
    <row r="64" customHeight="1" spans="1:57">
      <c r="A64" s="80" t="s">
        <v>1725</v>
      </c>
      <c r="D64" s="709" t="s">
        <v>1726</v>
      </c>
      <c r="E64" s="710">
        <v>30</v>
      </c>
      <c r="F64" s="80" t="s">
        <v>1713</v>
      </c>
      <c r="AZ64" s="736" t="s">
        <v>1354</v>
      </c>
      <c r="BE64" s="736">
        <v>2062</v>
      </c>
    </row>
    <row r="65" customHeight="1" spans="1:57">
      <c r="A65" s="80" t="s">
        <v>16</v>
      </c>
      <c r="D65" s="80"/>
      <c r="BE65" s="736">
        <v>2063</v>
      </c>
    </row>
    <row r="66" customHeight="1" spans="1:57">
      <c r="A66" s="80" t="s">
        <v>1727</v>
      </c>
      <c r="AZ66" s="684" t="s">
        <v>1728</v>
      </c>
      <c r="BE66" s="736">
        <v>2064</v>
      </c>
    </row>
    <row r="67" customHeight="1" spans="1:57">
      <c r="A67" s="80" t="s">
        <v>1729</v>
      </c>
      <c r="AZ67" s="736" t="s">
        <v>1240</v>
      </c>
      <c r="BE67" s="736">
        <v>2065</v>
      </c>
    </row>
    <row r="68" customHeight="1" spans="1:66">
      <c r="A68" s="80" t="s">
        <v>1730</v>
      </c>
      <c r="AZ68" s="736" t="s">
        <v>1267</v>
      </c>
      <c r="BE68" s="736">
        <v>2066</v>
      </c>
      <c r="BH68" s="684" t="s">
        <v>1731</v>
      </c>
      <c r="BJ68" s="684" t="s">
        <v>1732</v>
      </c>
      <c r="BL68" s="684" t="s">
        <v>1733</v>
      </c>
      <c r="BN68" s="684" t="s">
        <v>1734</v>
      </c>
    </row>
    <row r="69" customHeight="1" spans="1:66">
      <c r="A69" s="80" t="s">
        <v>1735</v>
      </c>
      <c r="AZ69" s="736" t="s">
        <v>1301</v>
      </c>
      <c r="BE69" s="736">
        <v>2067</v>
      </c>
      <c r="BH69" s="741" t="s">
        <v>1736</v>
      </c>
      <c r="BI69" s="450" t="s">
        <v>111</v>
      </c>
      <c r="BJ69" s="741" t="s">
        <v>1737</v>
      </c>
      <c r="BK69" s="450" t="s">
        <v>111</v>
      </c>
      <c r="BL69" s="741" t="s">
        <v>1738</v>
      </c>
      <c r="BM69" s="450" t="s">
        <v>111</v>
      </c>
      <c r="BN69" s="741" t="s">
        <v>1739</v>
      </c>
    </row>
    <row r="70" customHeight="1" spans="1:66">
      <c r="A70" s="80" t="s">
        <v>1740</v>
      </c>
      <c r="AZ70" s="736" t="s">
        <v>1333</v>
      </c>
      <c r="BE70" s="736">
        <v>2068</v>
      </c>
      <c r="BH70" s="741" t="s">
        <v>1741</v>
      </c>
      <c r="BJ70" s="741" t="s">
        <v>1742</v>
      </c>
      <c r="BL70" s="741" t="s">
        <v>1743</v>
      </c>
      <c r="BN70" s="741" t="s">
        <v>1744</v>
      </c>
    </row>
    <row r="71" customHeight="1" spans="1:66">
      <c r="A71" s="80" t="s">
        <v>1745</v>
      </c>
      <c r="AZ71" s="736" t="s">
        <v>1335</v>
      </c>
      <c r="BE71" s="736">
        <v>2069</v>
      </c>
      <c r="BH71" s="741" t="s">
        <v>1746</v>
      </c>
      <c r="BI71" s="450" t="s">
        <v>91</v>
      </c>
      <c r="BJ71" s="741" t="s">
        <v>1747</v>
      </c>
      <c r="BK71" s="450" t="s">
        <v>91</v>
      </c>
      <c r="BL71" s="741" t="s">
        <v>1748</v>
      </c>
      <c r="BM71" s="450" t="s">
        <v>91</v>
      </c>
      <c r="BN71" s="741" t="s">
        <v>1749</v>
      </c>
    </row>
    <row r="72" customHeight="1" spans="1:66">
      <c r="A72" s="80" t="s">
        <v>1750</v>
      </c>
      <c r="AZ72" s="736" t="s">
        <v>19</v>
      </c>
      <c r="BE72" s="736">
        <v>2070</v>
      </c>
      <c r="BH72" s="741" t="s">
        <v>1751</v>
      </c>
      <c r="BJ72" s="741" t="s">
        <v>1751</v>
      </c>
      <c r="BL72" s="741" t="s">
        <v>1751</v>
      </c>
      <c r="BN72" s="741" t="s">
        <v>1752</v>
      </c>
    </row>
    <row r="73" customHeight="1" spans="1:66">
      <c r="A73" s="80" t="s">
        <v>1753</v>
      </c>
      <c r="BH73" s="741" t="s">
        <v>1754</v>
      </c>
      <c r="BI73" s="450" t="s">
        <v>113</v>
      </c>
      <c r="BJ73" s="741" t="s">
        <v>1755</v>
      </c>
      <c r="BK73" s="450" t="s">
        <v>113</v>
      </c>
      <c r="BL73" s="741" t="s">
        <v>1756</v>
      </c>
      <c r="BM73" s="450" t="s">
        <v>113</v>
      </c>
      <c r="BN73" s="741" t="s">
        <v>1757</v>
      </c>
    </row>
    <row r="74" customHeight="1" spans="1:66">
      <c r="A74" s="80" t="s">
        <v>1758</v>
      </c>
      <c r="BH74" s="741" t="s">
        <v>1759</v>
      </c>
      <c r="BJ74" s="741" t="s">
        <v>1760</v>
      </c>
      <c r="BL74" s="741" t="s">
        <v>1761</v>
      </c>
      <c r="BN74" s="741" t="s">
        <v>1762</v>
      </c>
    </row>
    <row r="75" customHeight="1" spans="1:64">
      <c r="A75" s="80" t="s">
        <v>1763</v>
      </c>
      <c r="AZ75" s="684" t="s">
        <v>1764</v>
      </c>
      <c r="BH75" s="741" t="s">
        <v>1765</v>
      </c>
      <c r="BJ75" s="741" t="s">
        <v>1765</v>
      </c>
      <c r="BL75" s="741" t="s">
        <v>1765</v>
      </c>
    </row>
    <row r="76" customHeight="1" spans="1:64">
      <c r="A76" s="80" t="s">
        <v>1766</v>
      </c>
      <c r="AZ76" s="736" t="s">
        <v>519</v>
      </c>
      <c r="BH76" s="741" t="s">
        <v>1767</v>
      </c>
      <c r="BJ76" s="741" t="s">
        <v>1768</v>
      </c>
      <c r="BL76" s="741" t="s">
        <v>1769</v>
      </c>
    </row>
    <row r="77" customHeight="1" spans="1:52">
      <c r="A77" s="80" t="s">
        <v>1770</v>
      </c>
      <c r="AZ77" s="736" t="s">
        <v>522</v>
      </c>
    </row>
    <row r="78" customHeight="1" spans="1:52">
      <c r="A78" s="80" t="s">
        <v>1771</v>
      </c>
      <c r="AZ78" s="736" t="s">
        <v>1308</v>
      </c>
    </row>
    <row r="79" customHeight="1" spans="1:64">
      <c r="A79" s="80" t="s">
        <v>1772</v>
      </c>
      <c r="AZ79" s="736" t="s">
        <v>523</v>
      </c>
      <c r="BH79" s="684" t="s">
        <v>1773</v>
      </c>
      <c r="BJ79" s="684" t="s">
        <v>1774</v>
      </c>
      <c r="BL79" s="684" t="s">
        <v>1775</v>
      </c>
    </row>
    <row r="80" customHeight="1" spans="1:64">
      <c r="A80" s="80" t="s">
        <v>1776</v>
      </c>
      <c r="AZ80" s="736" t="s">
        <v>524</v>
      </c>
      <c r="BH80" s="741" t="s">
        <v>1777</v>
      </c>
      <c r="BJ80" s="741" t="s">
        <v>1778</v>
      </c>
      <c r="BL80" s="741" t="s">
        <v>1779</v>
      </c>
    </row>
    <row r="81" customHeight="1" spans="1:64">
      <c r="A81" s="80" t="s">
        <v>1780</v>
      </c>
      <c r="AZ81" s="736" t="s">
        <v>525</v>
      </c>
      <c r="BH81" s="741" t="s">
        <v>1781</v>
      </c>
      <c r="BJ81" s="741" t="s">
        <v>1782</v>
      </c>
      <c r="BL81" s="741" t="s">
        <v>1783</v>
      </c>
    </row>
    <row r="82" customHeight="1" spans="1:64">
      <c r="A82" s="80" t="s">
        <v>1784</v>
      </c>
      <c r="AZ82" s="736" t="s">
        <v>1389</v>
      </c>
      <c r="BH82" s="741" t="s">
        <v>1785</v>
      </c>
      <c r="BJ82" s="741" t="s">
        <v>1786</v>
      </c>
      <c r="BL82" s="741" t="s">
        <v>1787</v>
      </c>
    </row>
    <row r="83" customHeight="1" spans="1:64">
      <c r="A83" s="80" t="s">
        <v>1788</v>
      </c>
      <c r="BH83" s="741" t="s">
        <v>1789</v>
      </c>
      <c r="BJ83" s="741" t="s">
        <v>1790</v>
      </c>
      <c r="BL83" s="741" t="s">
        <v>1791</v>
      </c>
    </row>
    <row r="84" customHeight="1" spans="1:52">
      <c r="A84" s="80" t="s">
        <v>1792</v>
      </c>
      <c r="AZ84" s="684" t="s">
        <v>1793</v>
      </c>
    </row>
    <row r="85" customHeight="1" spans="1:52">
      <c r="A85" s="688" t="s">
        <v>1794</v>
      </c>
      <c r="AZ85" s="736" t="s">
        <v>1795</v>
      </c>
    </row>
    <row r="86" customHeight="1" spans="1:64">
      <c r="A86" s="80" t="s">
        <v>1796</v>
      </c>
      <c r="AZ86" s="736" t="s">
        <v>1797</v>
      </c>
      <c r="BH86" s="684" t="s">
        <v>1798</v>
      </c>
      <c r="BJ86" s="684" t="s">
        <v>1799</v>
      </c>
      <c r="BL86" s="684" t="s">
        <v>1800</v>
      </c>
    </row>
    <row r="87" customHeight="1" spans="1:64">
      <c r="A87" s="80" t="s">
        <v>1801</v>
      </c>
      <c r="AZ87" s="736" t="s">
        <v>1802</v>
      </c>
      <c r="BH87" s="741" t="s">
        <v>1803</v>
      </c>
      <c r="BJ87" s="741" t="s">
        <v>1804</v>
      </c>
      <c r="BL87" s="741" t="s">
        <v>1805</v>
      </c>
    </row>
    <row r="88" customHeight="1" spans="1:64">
      <c r="A88" s="80" t="s">
        <v>1806</v>
      </c>
      <c r="AZ88"/>
      <c r="BH88" s="741" t="s">
        <v>1807</v>
      </c>
      <c r="BJ88" s="741" t="s">
        <v>1808</v>
      </c>
      <c r="BL88" s="741" t="s">
        <v>1809</v>
      </c>
    </row>
    <row r="89" customHeight="1" spans="1:52">
      <c r="A89" s="80" t="s">
        <v>1810</v>
      </c>
      <c r="AZ89" s="684" t="s">
        <v>1811</v>
      </c>
    </row>
    <row r="90" customHeight="1" spans="1:52">
      <c r="A90" s="80" t="s">
        <v>1812</v>
      </c>
      <c r="AZ90" s="736" t="s">
        <v>1028</v>
      </c>
    </row>
    <row r="91" customHeight="1" spans="1:64">
      <c r="A91" s="80" t="s">
        <v>1813</v>
      </c>
      <c r="AZ91" s="736" t="s">
        <v>1064</v>
      </c>
      <c r="BH91" s="684" t="s">
        <v>1814</v>
      </c>
      <c r="BJ91" s="684" t="s">
        <v>1815</v>
      </c>
      <c r="BL91" s="684" t="s">
        <v>1816</v>
      </c>
    </row>
    <row r="92" customHeight="1" spans="52:64">
      <c r="AZ92" s="736" t="s">
        <v>1817</v>
      </c>
      <c r="BH92" s="741" t="s">
        <v>1818</v>
      </c>
      <c r="BJ92" s="741" t="s">
        <v>1819</v>
      </c>
      <c r="BL92" s="741" t="s">
        <v>1820</v>
      </c>
    </row>
    <row r="93" customHeight="1" spans="52:64">
      <c r="AZ93" s="736" t="s">
        <v>1821</v>
      </c>
      <c r="BH93" s="741" t="s">
        <v>1822</v>
      </c>
      <c r="BJ93" s="741" t="s">
        <v>1823</v>
      </c>
      <c r="BL93" s="741" t="s">
        <v>1824</v>
      </c>
    </row>
    <row r="94" customHeight="1" spans="52:52">
      <c r="AZ94" s="736" t="s">
        <v>1825</v>
      </c>
    </row>
    <row r="96" customHeight="1" spans="52:66">
      <c r="AZ96" s="684" t="s">
        <v>1826</v>
      </c>
      <c r="BH96" s="684" t="s">
        <v>1827</v>
      </c>
      <c r="BJ96" s="684" t="s">
        <v>1828</v>
      </c>
      <c r="BL96" s="684" t="s">
        <v>1829</v>
      </c>
      <c r="BN96" s="684" t="s">
        <v>1830</v>
      </c>
    </row>
    <row r="97" customHeight="1" spans="52:66">
      <c r="AZ97" s="748" t="s">
        <v>1831</v>
      </c>
      <c r="BA97" s="119" t="s">
        <v>1832</v>
      </c>
      <c r="BH97" s="741" t="s">
        <v>1833</v>
      </c>
      <c r="BJ97" s="741" t="s">
        <v>1834</v>
      </c>
      <c r="BL97" s="741" t="s">
        <v>1835</v>
      </c>
      <c r="BN97" s="741" t="s">
        <v>1836</v>
      </c>
    </row>
    <row r="98" customHeight="1" spans="52:66">
      <c r="AZ98" s="748" t="s">
        <v>1837</v>
      </c>
      <c r="BA98" s="119" t="s">
        <v>1838</v>
      </c>
      <c r="BH98" s="741" t="s">
        <v>1839</v>
      </c>
      <c r="BJ98" s="741" t="s">
        <v>1840</v>
      </c>
      <c r="BL98" s="741" t="s">
        <v>1841</v>
      </c>
      <c r="BN98" s="741" t="s">
        <v>1842</v>
      </c>
    </row>
    <row r="99" ht="22.5" customHeight="1" spans="52:66">
      <c r="AZ99" s="748" t="s">
        <v>1843</v>
      </c>
      <c r="BA99" s="119" t="str">
        <f>"не позднее чем за "&amp;IF(TEMPLATE_SPHERE="TKO","3","10")&amp;" дней до дня проведения заседания правления"</f>
        <v>не позднее чем за 10 дней до дня проведения заседания правления</v>
      </c>
      <c r="BH99" s="741" t="s">
        <v>1844</v>
      </c>
      <c r="BJ99" s="741" t="s">
        <v>1845</v>
      </c>
      <c r="BL99" s="741" t="s">
        <v>1846</v>
      </c>
      <c r="BN99" s="741" t="s">
        <v>1847</v>
      </c>
    </row>
    <row r="100" ht="22.5" customHeight="1" spans="52:66">
      <c r="AZ100" s="748" t="s">
        <v>1848</v>
      </c>
      <c r="BA100" s="1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741" t="s">
        <v>1435</v>
      </c>
      <c r="BL100" s="741" t="s">
        <v>1435</v>
      </c>
      <c r="BN100" s="741" t="s">
        <v>1849</v>
      </c>
    </row>
    <row r="101" ht="22.5" customHeight="1" spans="52:66">
      <c r="AZ101" s="748" t="s">
        <v>1850</v>
      </c>
      <c r="BA101" s="119" t="s">
        <v>1851</v>
      </c>
      <c r="BN101" s="741" t="s">
        <v>1852</v>
      </c>
    </row>
    <row r="102" ht="22.5" customHeight="1" spans="52:66">
      <c r="AZ102" s="748" t="s">
        <v>1853</v>
      </c>
      <c r="BA102" s="1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741" t="s">
        <v>1854</v>
      </c>
    </row>
    <row r="103" customHeight="1" spans="52:66">
      <c r="AZ103" s="748" t="s">
        <v>1855</v>
      </c>
      <c r="BA103" s="119" t="s">
        <v>1856</v>
      </c>
      <c r="BN103" s="741" t="s">
        <v>1857</v>
      </c>
    </row>
    <row r="104" customHeight="1" spans="66:66">
      <c r="BN104" s="741" t="s">
        <v>1858</v>
      </c>
    </row>
    <row r="105" customHeight="1" spans="52:52">
      <c r="AZ105" s="684" t="s">
        <v>1859</v>
      </c>
    </row>
    <row r="106" customHeight="1" spans="52:52">
      <c r="AZ106" s="736" t="s">
        <v>1860</v>
      </c>
    </row>
    <row r="107" customHeight="1" spans="52:66">
      <c r="AZ107" s="736" t="s">
        <v>1861</v>
      </c>
      <c r="BH107" s="684" t="s">
        <v>1862</v>
      </c>
      <c r="BJ107" s="684" t="s">
        <v>1863</v>
      </c>
      <c r="BL107" s="684" t="s">
        <v>1864</v>
      </c>
      <c r="BN107" s="684" t="s">
        <v>1865</v>
      </c>
    </row>
    <row r="108" customHeight="1" spans="52:66">
      <c r="AZ108" s="736" t="s">
        <v>581</v>
      </c>
      <c r="BH108" s="741" t="s">
        <v>1866</v>
      </c>
      <c r="BJ108" s="741" t="s">
        <v>1867</v>
      </c>
      <c r="BL108" s="741" t="s">
        <v>1521</v>
      </c>
      <c r="BN108" s="741" t="s">
        <v>1868</v>
      </c>
    </row>
    <row r="109" customHeight="1" spans="60:60">
      <c r="BH109" s="741" t="s">
        <v>1869</v>
      </c>
    </row>
    <row r="110" customHeight="1" spans="52:60">
      <c r="AZ110" s="684" t="s">
        <v>1870</v>
      </c>
      <c r="BH110" s="741" t="s">
        <v>1869</v>
      </c>
    </row>
    <row r="111" customHeight="1" spans="52:53">
      <c r="AZ111" s="748" t="s">
        <v>1831</v>
      </c>
      <c r="BA111" s="119" t="s">
        <v>1832</v>
      </c>
    </row>
    <row r="112" customHeight="1" spans="52:53">
      <c r="AZ112" s="748" t="s">
        <v>1837</v>
      </c>
      <c r="BA112" s="119" t="s">
        <v>1838</v>
      </c>
    </row>
    <row r="113" ht="22.5" customHeight="1" spans="52:53">
      <c r="AZ113" s="748" t="s">
        <v>1843</v>
      </c>
      <c r="BA113" s="11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ht="22.5" customHeight="1" spans="52:60">
      <c r="AZ114" s="748" t="s">
        <v>1848</v>
      </c>
      <c r="BA114" s="1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84" t="s">
        <v>1871</v>
      </c>
    </row>
    <row r="115" ht="22.5" customHeight="1" spans="52:60">
      <c r="AZ115" s="748" t="s">
        <v>1853</v>
      </c>
      <c r="BA115" s="11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741" t="s">
        <v>1236</v>
      </c>
    </row>
    <row r="116" customHeight="1" spans="52:60">
      <c r="AZ116" s="748" t="s">
        <v>1855</v>
      </c>
      <c r="BA116" s="119" t="s">
        <v>1856</v>
      </c>
      <c r="BH116" s="741" t="s">
        <v>1263</v>
      </c>
    </row>
    <row r="117" customHeight="1" spans="60:60">
      <c r="BH117" s="741" t="s">
        <v>1297</v>
      </c>
    </row>
    <row r="118" customHeight="1" spans="60:60">
      <c r="BH118" s="741" t="s">
        <v>1330</v>
      </c>
    </row>
  </sheetData>
  <sheetProtection formatColumns="0" formatRows="0" insertRows="0" deleteColumns="0" deleteRows="0" sort="0" autoFilter="0"/>
  <pageMargins left="0.75" right="0.75" top="1" bottom="1" header="0.5" footer="0.5"/>
  <pageSetup paperSize="9"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5"/>
  <sheetViews>
    <sheetView showGridLines="0" zoomScale="90" zoomScaleNormal="90" workbookViewId="0">
      <pane xSplit="5" ySplit="11" topLeftCell="F12" activePane="bottomRight" state="frozen"/>
      <selection/>
      <selection pane="topRight"/>
      <selection pane="bottomLeft"/>
      <selection pane="bottomRight" activeCell="A1" sqref="A1"/>
    </sheetView>
  </sheetViews>
  <sheetFormatPr defaultColWidth="9.14285714285714" defaultRowHeight="11.25" customHeight="1"/>
  <cols>
    <col min="1" max="2" width="15" style="648" hidden="1" customWidth="1"/>
    <col min="3" max="3" width="3" style="206" customWidth="1"/>
    <col min="4" max="4" width="6" style="649" customWidth="1"/>
    <col min="5" max="5" width="52" style="206" customWidth="1"/>
    <col min="6" max="6" width="48" style="206" customWidth="1"/>
    <col min="7" max="7" width="93" style="206" customWidth="1"/>
    <col min="8" max="8" width="8" style="206" customWidth="1"/>
    <col min="9" max="9" width="64" style="206" customWidth="1"/>
    <col min="10" max="10" width="9.14285714285714" style="206" hidden="1"/>
  </cols>
  <sheetData>
    <row r="1" hidden="1" customHeight="1" spans="1:10">
      <c r="A1" s="648" t="s">
        <v>304</v>
      </c>
      <c r="J1" s="206" t="s">
        <v>14</v>
      </c>
    </row>
    <row r="2" ht="22.5" hidden="1" customHeight="1" spans="1:10">
      <c r="A2" s="246"/>
      <c r="B2" s="246"/>
      <c r="C2" s="650" t="s">
        <v>521</v>
      </c>
      <c r="D2" s="651"/>
      <c r="E2" s="212"/>
      <c r="F2" s="652"/>
      <c r="H2" s="244"/>
      <c r="J2" s="206">
        <v>0</v>
      </c>
    </row>
    <row r="3" hidden="1" customHeight="1" spans="10:10">
      <c r="J3" s="206">
        <v>0</v>
      </c>
    </row>
    <row r="4" ht="11.55" customHeight="1" spans="1:10">
      <c r="A4" s="653"/>
      <c r="B4" s="653"/>
      <c r="J4" s="206">
        <v>11</v>
      </c>
    </row>
    <row r="5" ht="27.3" customHeight="1" spans="4:10">
      <c r="D5" s="65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655"/>
      <c r="F5" s="656"/>
      <c r="I5" s="681"/>
      <c r="J5" s="206">
        <v>26</v>
      </c>
    </row>
    <row r="6" ht="18" customHeight="1" spans="4:10">
      <c r="D6" s="657" t="str">
        <f>IF(region_name=0,"Не определено",region_name)</f>
        <v>Республика Татарстан</v>
      </c>
      <c r="E6" s="657"/>
      <c r="F6" s="657"/>
      <c r="I6" s="681"/>
      <c r="J6" s="206">
        <v>17</v>
      </c>
    </row>
    <row r="7" s="646" customFormat="1" ht="11.55" customHeight="1" spans="1:10">
      <c r="A7" s="648"/>
      <c r="B7" s="648"/>
      <c r="D7" s="658"/>
      <c r="E7" s="658"/>
      <c r="F7" s="574"/>
      <c r="G7" s="658"/>
      <c r="J7" s="646">
        <v>11</v>
      </c>
    </row>
    <row r="8" hidden="1" customHeight="1" spans="1:10">
      <c r="A8" s="246"/>
      <c r="B8" s="246"/>
      <c r="C8" s="52"/>
      <c r="D8" s="659"/>
      <c r="E8" s="660"/>
      <c r="F8" s="660"/>
      <c r="J8" s="206">
        <v>0</v>
      </c>
    </row>
    <row r="9" ht="11.55" customHeight="1" spans="1:10">
      <c r="A9" s="246"/>
      <c r="B9" s="246"/>
      <c r="C9" s="52"/>
      <c r="D9" s="294" t="s">
        <v>305</v>
      </c>
      <c r="E9" s="661"/>
      <c r="F9" s="661"/>
      <c r="G9" s="662" t="s">
        <v>306</v>
      </c>
      <c r="J9" s="206">
        <v>11</v>
      </c>
    </row>
    <row r="10" ht="11.55" customHeight="1" spans="1:10">
      <c r="A10" s="246"/>
      <c r="B10" s="246"/>
      <c r="C10" s="52"/>
      <c r="D10" s="661" t="s">
        <v>89</v>
      </c>
      <c r="E10" s="662" t="s">
        <v>307</v>
      </c>
      <c r="F10" s="662" t="s">
        <v>308</v>
      </c>
      <c r="G10" s="65"/>
      <c r="J10" s="206">
        <v>11</v>
      </c>
    </row>
    <row r="11" ht="1.05" customHeight="1" spans="1:10">
      <c r="A11" s="246"/>
      <c r="B11" s="246"/>
      <c r="C11" s="52"/>
      <c r="D11" s="663"/>
      <c r="E11" s="663"/>
      <c r="F11" s="663"/>
      <c r="G11" s="663"/>
      <c r="J11" s="206">
        <v>1</v>
      </c>
    </row>
    <row r="12" ht="24" customHeight="1" spans="1:10">
      <c r="A12" s="246"/>
      <c r="B12" s="246"/>
      <c r="C12" s="52"/>
      <c r="D12" s="651">
        <v>1</v>
      </c>
      <c r="E12" s="25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584" t="str">
        <f>IF(org="","",org)</f>
        <v>АО "ОЭЗ ППТ "Алабуга"</v>
      </c>
      <c r="G12" s="25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664"/>
      <c r="J12" s="206">
        <v>23</v>
      </c>
    </row>
    <row r="13" ht="19.95" customHeight="1" spans="1:10">
      <c r="A13" s="246"/>
      <c r="B13" s="246"/>
      <c r="C13" s="52"/>
      <c r="D13" s="651">
        <v>2</v>
      </c>
      <c r="E13" s="64" t="s">
        <v>1872</v>
      </c>
      <c r="F13" s="63" t="s">
        <v>311</v>
      </c>
      <c r="G13" s="253"/>
      <c r="H13" s="664"/>
      <c r="J13" s="206">
        <v>19</v>
      </c>
    </row>
    <row r="14" ht="19.95" customHeight="1" spans="1:10">
      <c r="A14" s="246"/>
      <c r="B14" s="246"/>
      <c r="C14" s="52"/>
      <c r="D14" s="665" t="s">
        <v>718</v>
      </c>
      <c r="E14" s="666" t="s">
        <v>1873</v>
      </c>
      <c r="F14" s="212"/>
      <c r="G14" s="82" t="s">
        <v>1874</v>
      </c>
      <c r="H14" s="664"/>
      <c r="J14" s="206">
        <v>19</v>
      </c>
    </row>
    <row r="15" ht="19.95" customHeight="1" spans="1:10">
      <c r="A15" s="246"/>
      <c r="B15" s="246"/>
      <c r="C15" s="52"/>
      <c r="D15" s="665" t="s">
        <v>312</v>
      </c>
      <c r="E15" s="666" t="s">
        <v>1875</v>
      </c>
      <c r="F15" s="212"/>
      <c r="G15" s="82" t="s">
        <v>1876</v>
      </c>
      <c r="H15" s="664"/>
      <c r="J15" s="206">
        <v>19</v>
      </c>
    </row>
    <row r="16" ht="24" customHeight="1" spans="1:10">
      <c r="A16" s="246"/>
      <c r="B16" s="246"/>
      <c r="C16" s="52"/>
      <c r="D16" s="665" t="s">
        <v>315</v>
      </c>
      <c r="E16" s="88" t="s">
        <v>1877</v>
      </c>
      <c r="F16" s="214"/>
      <c r="G16" s="253" t="s">
        <v>1878</v>
      </c>
      <c r="H16" s="664"/>
      <c r="J16" s="206">
        <v>23</v>
      </c>
    </row>
    <row r="17" ht="48.3" customHeight="1" spans="1:10">
      <c r="A17" s="246"/>
      <c r="B17" s="246"/>
      <c r="C17" s="52"/>
      <c r="D17" s="651">
        <v>3</v>
      </c>
      <c r="E17" s="64" t="s">
        <v>1879</v>
      </c>
      <c r="F17" s="212"/>
      <c r="G17" s="253" t="s">
        <v>1880</v>
      </c>
      <c r="H17" s="664"/>
      <c r="J17" s="206">
        <v>46</v>
      </c>
    </row>
    <row r="18" ht="48.3" customHeight="1" spans="1:10">
      <c r="A18" s="667">
        <v>1</v>
      </c>
      <c r="B18" s="246"/>
      <c r="C18" s="247"/>
      <c r="D18" s="651" t="s">
        <v>92</v>
      </c>
      <c r="E18" s="64" t="s">
        <v>1881</v>
      </c>
      <c r="F18" s="212"/>
      <c r="G18" s="253" t="s">
        <v>1880</v>
      </c>
      <c r="H18" s="664"/>
      <c r="I18" s="280"/>
      <c r="J18" s="206">
        <v>46</v>
      </c>
    </row>
    <row r="19" ht="23.25" customHeight="1" spans="1:10">
      <c r="A19" s="246"/>
      <c r="B19" s="246"/>
      <c r="C19" s="52"/>
      <c r="D19" s="651" t="s">
        <v>113</v>
      </c>
      <c r="E19" s="64" t="s">
        <v>1882</v>
      </c>
      <c r="F19" s="63" t="s">
        <v>311</v>
      </c>
      <c r="G19" s="668" t="s">
        <v>1883</v>
      </c>
      <c r="H19" s="244"/>
      <c r="J19" s="206">
        <v>22</v>
      </c>
    </row>
    <row r="20" s="647" customFormat="1" ht="5.25" hidden="1" customHeight="1" spans="1:10">
      <c r="A20" s="246"/>
      <c r="B20" s="246"/>
      <c r="C20" s="669"/>
      <c r="D20" s="670" t="s">
        <v>1125</v>
      </c>
      <c r="E20" s="671"/>
      <c r="F20" s="672"/>
      <c r="G20" s="673"/>
      <c r="J20" s="647">
        <v>0</v>
      </c>
    </row>
    <row r="21" ht="15.75" customHeight="1" spans="1:10">
      <c r="A21" s="246"/>
      <c r="B21" s="246"/>
      <c r="C21" s="52"/>
      <c r="D21" s="674"/>
      <c r="E21" s="226" t="s">
        <v>344</v>
      </c>
      <c r="F21" s="675"/>
      <c r="G21" s="676"/>
      <c r="H21" s="664"/>
      <c r="J21" s="206">
        <v>15</v>
      </c>
    </row>
    <row r="22" s="648" customFormat="1" ht="26.25" customHeight="1" spans="1:10">
      <c r="A22" s="246"/>
      <c r="B22" s="246"/>
      <c r="C22" s="246"/>
      <c r="D22" s="651" t="s">
        <v>93</v>
      </c>
      <c r="E22" s="253" t="s">
        <v>1884</v>
      </c>
      <c r="F22" s="212"/>
      <c r="G22" s="253" t="s">
        <v>1885</v>
      </c>
      <c r="H22" s="677"/>
      <c r="J22" s="648">
        <v>25</v>
      </c>
    </row>
    <row r="23" s="648" customFormat="1" ht="19.95" customHeight="1" spans="1:10">
      <c r="A23" s="246"/>
      <c r="B23" s="246"/>
      <c r="C23" s="246"/>
      <c r="D23" s="651" t="s">
        <v>94</v>
      </c>
      <c r="E23" s="64" t="s">
        <v>1886</v>
      </c>
      <c r="F23" s="214"/>
      <c r="G23" s="253" t="s">
        <v>1887</v>
      </c>
      <c r="H23" s="677"/>
      <c r="J23" s="648">
        <v>19</v>
      </c>
    </row>
    <row r="24" s="648" customFormat="1" ht="144" hidden="1" customHeight="1" spans="1:10">
      <c r="A24" s="246"/>
      <c r="B24" s="246"/>
      <c r="C24" s="246"/>
      <c r="D24" s="651" t="s">
        <v>114</v>
      </c>
      <c r="E24" s="67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679"/>
      <c r="G24" s="68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677"/>
      <c r="J24" s="648">
        <v>0</v>
      </c>
    </row>
    <row r="25" hidden="1" customHeight="1" spans="1:10">
      <c r="A25" s="648" t="s">
        <v>83</v>
      </c>
      <c r="B25" s="648">
        <v>0</v>
      </c>
      <c r="C25" s="206">
        <v>3</v>
      </c>
      <c r="D25" s="649">
        <v>6</v>
      </c>
      <c r="E25" s="206">
        <v>52</v>
      </c>
      <c r="F25" s="206">
        <v>48</v>
      </c>
      <c r="G25" s="206">
        <v>93</v>
      </c>
      <c r="H25" s="206">
        <v>8</v>
      </c>
      <c r="I25" s="206">
        <v>64</v>
      </c>
      <c r="J25" s="206">
        <v>11</v>
      </c>
    </row>
  </sheetData>
  <sheetProtection formatColumns="0" formatRows="0" insertRows="0" deleteColumns="0" deleteRows="0" sort="0" autoFilter="0"/>
  <mergeCells count="6">
    <mergeCell ref="D5:F5"/>
    <mergeCell ref="D6:F6"/>
    <mergeCell ref="E8:F8"/>
    <mergeCell ref="D9:F9"/>
    <mergeCell ref="G9:G10"/>
    <mergeCell ref="G19:G21"/>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paperSize="1"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24"/>
  <sheetViews>
    <sheetView showGridLines="0" zoomScale="90" zoomScaleNormal="90" workbookViewId="0">
      <pane xSplit="5" ySplit="8" topLeftCell="F9"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2" hidden="1"/>
    <col min="2" max="2" width="9.14285714285714" style="37" hidden="1"/>
    <col min="3" max="3" width="3.71428571428571" style="42" hidden="1" customWidth="1"/>
    <col min="4" max="4" width="3" style="216" customWidth="1"/>
    <col min="5" max="5" width="6" style="42" customWidth="1"/>
    <col min="6" max="6" width="46" style="42" customWidth="1"/>
    <col min="7" max="8" width="16" style="42" customWidth="1"/>
    <col min="9" max="9" width="35" style="42" customWidth="1"/>
    <col min="10" max="10" width="89" style="42" customWidth="1"/>
    <col min="11" max="11" width="3" style="150" customWidth="1"/>
    <col min="12" max="14" width="8" style="150" customWidth="1"/>
    <col min="15" max="15" width="25" style="150" customWidth="1"/>
    <col min="16" max="16" width="14" style="150" customWidth="1"/>
    <col min="17" max="20" width="8" style="266" customWidth="1"/>
    <col min="21" max="254" width="8" style="42" customWidth="1"/>
    <col min="255" max="255" width="9.14285714285714" style="42" hidden="1"/>
  </cols>
  <sheetData>
    <row r="1" ht="22.5" hidden="1" customHeight="1" spans="6:255">
      <c r="F1" s="42" t="s">
        <v>1888</v>
      </c>
      <c r="G1" s="42" t="s">
        <v>50</v>
      </c>
      <c r="H1" s="42" t="s">
        <v>52</v>
      </c>
      <c r="IU1" s="42" t="s">
        <v>14</v>
      </c>
    </row>
    <row r="2" customFormat="1" ht="22.5" hidden="1" customHeight="1" spans="1:255">
      <c r="A2" s="586"/>
      <c r="B2" s="37">
        <v>1</v>
      </c>
      <c r="C2" s="37"/>
      <c r="D2" s="583" t="s">
        <v>521</v>
      </c>
      <c r="E2" s="63"/>
      <c r="F2" s="374"/>
      <c r="G2" s="374"/>
      <c r="H2" s="374"/>
      <c r="I2" s="643"/>
      <c r="J2" s="644"/>
      <c r="K2" s="602"/>
      <c r="L2" s="43"/>
      <c r="M2" s="43"/>
      <c r="N2" s="150" t="str">
        <f t="array" ref="N2">IF(ISERROR(MATCH(MID(O2,1,250),MID(note_ter,1,250),0)),"n","y")</f>
        <v>n</v>
      </c>
      <c r="O2" s="43"/>
      <c r="P2" s="150" t="str">
        <f>G2&amp;"("&amp;J2&amp;")"</f>
        <v>()</v>
      </c>
      <c r="Q2" s="37"/>
      <c r="R2" s="37"/>
      <c r="S2" s="287"/>
      <c r="T2" s="37"/>
      <c r="U2" s="37"/>
      <c r="V2" s="37"/>
      <c r="W2" s="263"/>
      <c r="X2" s="263"/>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263"/>
      <c r="BU2" s="263"/>
      <c r="BV2" s="263"/>
      <c r="BW2" s="263"/>
      <c r="BX2" s="263"/>
      <c r="BY2" s="263"/>
      <c r="BZ2" s="263"/>
      <c r="CA2" s="263"/>
      <c r="CB2" s="263"/>
      <c r="CC2" s="263"/>
      <c r="IU2">
        <v>0</v>
      </c>
    </row>
    <row r="3" s="43" customFormat="1" ht="4.2" customHeight="1" spans="1:255">
      <c r="A3" s="36"/>
      <c r="D3" s="92"/>
      <c r="F3" s="587" t="s">
        <v>84</v>
      </c>
      <c r="G3" s="92" t="s">
        <v>85</v>
      </c>
      <c r="H3" s="92"/>
      <c r="I3" s="92"/>
      <c r="J3" s="627" t="s">
        <v>86</v>
      </c>
      <c r="K3" s="587" t="s">
        <v>84</v>
      </c>
      <c r="L3" s="587"/>
      <c r="M3" s="587"/>
      <c r="N3" s="587"/>
      <c r="O3" s="587"/>
      <c r="P3" s="587"/>
      <c r="Q3" s="587"/>
      <c r="R3" s="587"/>
      <c r="S3" s="587"/>
      <c r="T3" s="587"/>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627"/>
      <c r="CM3" s="627"/>
      <c r="CN3" s="627"/>
      <c r="CO3" s="627"/>
      <c r="CP3" s="627"/>
      <c r="CQ3" s="627"/>
      <c r="CR3" s="627"/>
      <c r="CS3" s="627"/>
      <c r="CT3" s="627"/>
      <c r="CU3" s="627"/>
      <c r="CV3" s="627"/>
      <c r="CW3" s="627"/>
      <c r="CX3" s="627"/>
      <c r="CY3" s="627"/>
      <c r="CZ3" s="627"/>
      <c r="DA3" s="627"/>
      <c r="DB3" s="627"/>
      <c r="DC3" s="627"/>
      <c r="DD3" s="627"/>
      <c r="DE3" s="627"/>
      <c r="DF3" s="627"/>
      <c r="DG3" s="627"/>
      <c r="DH3" s="627"/>
      <c r="DI3" s="627"/>
      <c r="DJ3" s="627"/>
      <c r="DK3" s="627"/>
      <c r="DL3" s="627"/>
      <c r="DM3" s="627"/>
      <c r="DN3" s="627"/>
      <c r="DO3" s="627"/>
      <c r="DP3" s="627"/>
      <c r="DQ3" s="627"/>
      <c r="DR3" s="627"/>
      <c r="DS3" s="627"/>
      <c r="DT3" s="627"/>
      <c r="DU3" s="627"/>
      <c r="DV3" s="627"/>
      <c r="DW3" s="627"/>
      <c r="DX3" s="627"/>
      <c r="DY3" s="627"/>
      <c r="DZ3" s="627"/>
      <c r="EA3" s="627"/>
      <c r="EB3" s="627"/>
      <c r="EC3" s="627"/>
      <c r="ED3" s="627"/>
      <c r="EE3" s="627"/>
      <c r="EF3" s="627"/>
      <c r="EG3" s="627"/>
      <c r="EH3" s="627"/>
      <c r="EI3" s="627"/>
      <c r="EJ3" s="627"/>
      <c r="EK3" s="627"/>
      <c r="EL3" s="627"/>
      <c r="EM3" s="627"/>
      <c r="EN3" s="627"/>
      <c r="EO3" s="627"/>
      <c r="EP3" s="627"/>
      <c r="EQ3" s="627"/>
      <c r="ER3" s="627"/>
      <c r="ES3" s="627"/>
      <c r="ET3" s="627"/>
      <c r="EU3" s="627"/>
      <c r="EV3" s="627"/>
      <c r="EW3" s="627"/>
      <c r="EX3" s="627"/>
      <c r="EY3" s="627"/>
      <c r="EZ3" s="627"/>
      <c r="FA3" s="627"/>
      <c r="FB3" s="627"/>
      <c r="FC3" s="627"/>
      <c r="FD3" s="627"/>
      <c r="FE3" s="627"/>
      <c r="FF3" s="627"/>
      <c r="FG3" s="627"/>
      <c r="FH3" s="627"/>
      <c r="FI3" s="627"/>
      <c r="FJ3" s="627"/>
      <c r="FK3" s="627"/>
      <c r="FL3" s="627"/>
      <c r="FM3" s="627"/>
      <c r="FN3" s="627"/>
      <c r="FO3" s="627"/>
      <c r="FP3" s="627"/>
      <c r="FQ3" s="627"/>
      <c r="FR3" s="627"/>
      <c r="FS3" s="627"/>
      <c r="FT3" s="627"/>
      <c r="FU3" s="627"/>
      <c r="FV3" s="627"/>
      <c r="FW3" s="627"/>
      <c r="FX3" s="627"/>
      <c r="FY3" s="627"/>
      <c r="FZ3" s="627"/>
      <c r="GA3" s="627"/>
      <c r="GB3" s="627"/>
      <c r="GC3" s="627"/>
      <c r="GD3" s="627"/>
      <c r="GE3" s="627"/>
      <c r="GF3" s="627"/>
      <c r="GG3" s="627"/>
      <c r="GH3" s="627"/>
      <c r="GI3" s="627"/>
      <c r="GJ3" s="627"/>
      <c r="GK3" s="627"/>
      <c r="GL3" s="627"/>
      <c r="GM3" s="627"/>
      <c r="GN3" s="627"/>
      <c r="GO3" s="627"/>
      <c r="GP3" s="627"/>
      <c r="GQ3" s="627"/>
      <c r="GR3" s="627"/>
      <c r="GS3" s="627"/>
      <c r="GT3" s="627"/>
      <c r="GU3" s="627"/>
      <c r="GV3" s="627"/>
      <c r="GW3" s="627"/>
      <c r="GX3" s="627"/>
      <c r="GY3" s="627"/>
      <c r="GZ3" s="627"/>
      <c r="HA3" s="627"/>
      <c r="HB3" s="627"/>
      <c r="HC3" s="627"/>
      <c r="HD3" s="627"/>
      <c r="HE3" s="627"/>
      <c r="HF3" s="627"/>
      <c r="HG3" s="627"/>
      <c r="HH3" s="627"/>
      <c r="HI3" s="627"/>
      <c r="HJ3" s="627"/>
      <c r="HK3" s="627"/>
      <c r="HL3" s="627"/>
      <c r="HM3" s="627"/>
      <c r="HN3" s="627"/>
      <c r="HO3" s="627"/>
      <c r="HP3" s="627"/>
      <c r="HQ3" s="627"/>
      <c r="HR3" s="627"/>
      <c r="HS3" s="627"/>
      <c r="HT3" s="627"/>
      <c r="HU3" s="627"/>
      <c r="HV3" s="627"/>
      <c r="HW3" s="627"/>
      <c r="HX3" s="627"/>
      <c r="HY3" s="627"/>
      <c r="HZ3" s="627"/>
      <c r="IA3" s="627"/>
      <c r="IB3" s="627"/>
      <c r="IC3" s="627"/>
      <c r="ID3" s="627"/>
      <c r="IE3" s="627"/>
      <c r="IF3" s="627"/>
      <c r="IG3" s="627"/>
      <c r="IH3" s="627"/>
      <c r="II3" s="627"/>
      <c r="IJ3" s="627"/>
      <c r="IK3" s="627"/>
      <c r="IL3" s="627"/>
      <c r="IM3" s="627"/>
      <c r="IN3" s="627"/>
      <c r="IO3" s="627"/>
      <c r="IP3" s="627"/>
      <c r="IQ3" s="627"/>
      <c r="IR3" s="627"/>
      <c r="IS3" s="627"/>
      <c r="IT3" s="627"/>
      <c r="IU3" s="43">
        <v>4</v>
      </c>
    </row>
    <row r="4" s="205" customFormat="1" ht="14.7" customHeight="1" spans="1:255">
      <c r="A4" s="42"/>
      <c r="B4" s="37"/>
      <c r="C4" s="42"/>
      <c r="D4" s="216"/>
      <c r="E4" s="42"/>
      <c r="F4" s="43"/>
      <c r="G4" s="42"/>
      <c r="H4" s="42"/>
      <c r="I4" s="42"/>
      <c r="J4" s="60"/>
      <c r="K4" s="587"/>
      <c r="L4" s="150"/>
      <c r="M4" s="150"/>
      <c r="N4" s="150"/>
      <c r="O4" s="150"/>
      <c r="P4" s="150"/>
      <c r="Q4" s="266"/>
      <c r="R4" s="266"/>
      <c r="S4" s="266"/>
      <c r="T4" s="266"/>
      <c r="IU4" s="205">
        <v>14</v>
      </c>
    </row>
    <row r="5" s="205" customFormat="1" ht="27.3" customHeight="1" spans="1:255">
      <c r="A5" s="42"/>
      <c r="B5" s="37"/>
      <c r="C5" s="42"/>
      <c r="D5" s="216"/>
      <c r="E5" s="56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562"/>
      <c r="G5" s="562"/>
      <c r="H5" s="562"/>
      <c r="I5" s="562"/>
      <c r="J5" s="562"/>
      <c r="K5" s="587"/>
      <c r="L5" s="150"/>
      <c r="M5" s="150"/>
      <c r="N5" s="150"/>
      <c r="O5" s="150"/>
      <c r="P5" s="150"/>
      <c r="Q5" s="266"/>
      <c r="R5" s="266"/>
      <c r="S5" s="266"/>
      <c r="T5" s="266"/>
      <c r="IU5" s="205">
        <v>26</v>
      </c>
    </row>
    <row r="6" s="205" customFormat="1" ht="14.7" customHeight="1" spans="1:255">
      <c r="A6" s="42"/>
      <c r="B6" s="37"/>
      <c r="C6" s="42"/>
      <c r="D6" s="216"/>
      <c r="E6" s="42"/>
      <c r="F6" s="591"/>
      <c r="G6" s="591"/>
      <c r="H6" s="591"/>
      <c r="I6" s="591"/>
      <c r="J6" s="586"/>
      <c r="K6" s="150"/>
      <c r="L6" s="150"/>
      <c r="M6" s="150"/>
      <c r="N6" s="150"/>
      <c r="O6" s="150"/>
      <c r="P6" s="150"/>
      <c r="Q6" s="266"/>
      <c r="R6" s="266"/>
      <c r="S6" s="266"/>
      <c r="T6" s="266"/>
      <c r="IU6" s="205">
        <v>14</v>
      </c>
    </row>
    <row r="7" s="205" customFormat="1" ht="14.7" customHeight="1" spans="1:255">
      <c r="A7" s="42"/>
      <c r="B7" s="37"/>
      <c r="C7" s="42"/>
      <c r="D7" s="216"/>
      <c r="E7" s="125" t="s">
        <v>305</v>
      </c>
      <c r="F7" s="127"/>
      <c r="G7" s="127"/>
      <c r="H7" s="127"/>
      <c r="I7" s="127"/>
      <c r="J7" s="628" t="s">
        <v>306</v>
      </c>
      <c r="K7" s="150"/>
      <c r="L7" s="150"/>
      <c r="M7" s="150"/>
      <c r="N7" s="150"/>
      <c r="O7" s="150"/>
      <c r="P7" s="150"/>
      <c r="Q7" s="266"/>
      <c r="R7" s="266"/>
      <c r="S7" s="266"/>
      <c r="T7" s="266"/>
      <c r="IU7" s="205">
        <v>14</v>
      </c>
    </row>
    <row r="8" s="205" customFormat="1" ht="21" customHeight="1" spans="1:255">
      <c r="A8" s="42"/>
      <c r="B8" s="37"/>
      <c r="C8" s="42"/>
      <c r="D8" s="216"/>
      <c r="E8" s="639" t="s">
        <v>89</v>
      </c>
      <c r="F8" s="594" t="s">
        <v>1888</v>
      </c>
      <c r="G8" s="594" t="s">
        <v>50</v>
      </c>
      <c r="H8" s="594" t="s">
        <v>52</v>
      </c>
      <c r="I8" s="594" t="s">
        <v>1889</v>
      </c>
      <c r="J8" s="631"/>
      <c r="K8" s="150"/>
      <c r="L8" s="150"/>
      <c r="M8" s="150"/>
      <c r="N8" s="150"/>
      <c r="O8" s="150"/>
      <c r="P8" s="150"/>
      <c r="Q8" s="266"/>
      <c r="R8" s="266"/>
      <c r="S8" s="266"/>
      <c r="T8" s="266"/>
      <c r="IU8" s="205">
        <v>20</v>
      </c>
    </row>
    <row r="9" customFormat="1" ht="23.25" customHeight="1" spans="1:255">
      <c r="A9" s="42"/>
      <c r="B9" s="37">
        <v>1</v>
      </c>
      <c r="C9" s="37"/>
      <c r="D9" s="215"/>
      <c r="E9" s="63">
        <v>1</v>
      </c>
      <c r="F9" s="585"/>
      <c r="G9" s="374"/>
      <c r="H9" s="374"/>
      <c r="I9" s="624"/>
      <c r="J9" s="58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602"/>
      <c r="L9" s="43"/>
      <c r="M9" s="43"/>
      <c r="N9" s="150" t="str">
        <f t="array" ref="N9">IF(ISERROR(MATCH(MID(O9,1,250),MID(note_ter,1,250),0)),"n","y")</f>
        <v>n</v>
      </c>
      <c r="O9" s="43"/>
      <c r="P9" s="150"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37"/>
      <c r="R9" s="37"/>
      <c r="S9" s="287"/>
      <c r="T9" s="37"/>
      <c r="U9" s="37"/>
      <c r="V9" s="37"/>
      <c r="W9" s="263"/>
      <c r="X9" s="263"/>
      <c r="Y9" s="151"/>
      <c r="Z9" s="151"/>
      <c r="AA9" s="151"/>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263"/>
      <c r="BU9" s="263"/>
      <c r="BV9" s="263"/>
      <c r="BW9" s="263"/>
      <c r="BX9" s="263"/>
      <c r="BY9" s="263"/>
      <c r="BZ9" s="263"/>
      <c r="CA9" s="263"/>
      <c r="CB9" s="263"/>
      <c r="CC9" s="263"/>
      <c r="IU9">
        <v>22</v>
      </c>
    </row>
    <row r="10" customFormat="1" ht="15.75" customHeight="1" spans="1:255">
      <c r="A10" s="42"/>
      <c r="B10" s="37"/>
      <c r="C10" s="223"/>
      <c r="D10" s="215"/>
      <c r="E10" s="640"/>
      <c r="F10" s="598" t="s">
        <v>1890</v>
      </c>
      <c r="G10" s="599"/>
      <c r="H10" s="599"/>
      <c r="I10" s="645"/>
      <c r="J10" s="581"/>
      <c r="K10" s="616"/>
      <c r="L10" s="43"/>
      <c r="M10" s="43"/>
      <c r="N10" s="43"/>
      <c r="O10" s="150"/>
      <c r="P10" s="43"/>
      <c r="Q10" s="37"/>
      <c r="R10" s="37"/>
      <c r="S10" s="287"/>
      <c r="T10" s="37"/>
      <c r="U10" s="37"/>
      <c r="V10" s="37"/>
      <c r="W10" s="263"/>
      <c r="X10" s="263"/>
      <c r="Y10" s="151"/>
      <c r="Z10" s="151"/>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263"/>
      <c r="BU10" s="263"/>
      <c r="BV10" s="263"/>
      <c r="BW10" s="263"/>
      <c r="BX10" s="263"/>
      <c r="BY10" s="263"/>
      <c r="BZ10" s="263"/>
      <c r="CA10" s="263"/>
      <c r="CB10" s="263"/>
      <c r="CC10" s="263"/>
      <c r="IU10">
        <v>15</v>
      </c>
    </row>
    <row r="11" s="205" customFormat="1" ht="22.05" customHeight="1" spans="1:255">
      <c r="A11" s="42"/>
      <c r="B11" s="37"/>
      <c r="C11" s="42"/>
      <c r="D11" s="216"/>
      <c r="E11" s="600"/>
      <c r="F11" s="600"/>
      <c r="G11" s="600"/>
      <c r="H11" s="600"/>
      <c r="I11" s="600"/>
      <c r="J11" s="600"/>
      <c r="K11" s="150"/>
      <c r="L11" s="150"/>
      <c r="M11" s="150"/>
      <c r="N11" s="150"/>
      <c r="O11" s="150"/>
      <c r="P11" s="150"/>
      <c r="Q11" s="266"/>
      <c r="R11" s="266"/>
      <c r="S11" s="266"/>
      <c r="T11" s="266"/>
      <c r="IU11" s="205">
        <v>21</v>
      </c>
    </row>
    <row r="12" s="205" customFormat="1" ht="14.7" customHeight="1" spans="1:255">
      <c r="A12" s="42"/>
      <c r="B12" s="37"/>
      <c r="C12" s="42"/>
      <c r="D12" s="216"/>
      <c r="E12" s="42"/>
      <c r="F12" s="42"/>
      <c r="G12" s="42"/>
      <c r="H12" s="42"/>
      <c r="I12" s="42"/>
      <c r="J12" s="42"/>
      <c r="K12" s="150"/>
      <c r="L12" s="150"/>
      <c r="M12" s="150"/>
      <c r="N12" s="150"/>
      <c r="O12" s="150"/>
      <c r="P12" s="150"/>
      <c r="Q12" s="266"/>
      <c r="R12" s="266"/>
      <c r="S12" s="266"/>
      <c r="T12" s="266"/>
      <c r="IU12" s="205">
        <v>14</v>
      </c>
    </row>
    <row r="13" s="205" customFormat="1" ht="1.05" customHeight="1" spans="1:255">
      <c r="A13" s="42"/>
      <c r="B13" s="37"/>
      <c r="C13" s="42"/>
      <c r="D13" s="216"/>
      <c r="E13" s="42"/>
      <c r="F13" s="42"/>
      <c r="G13" s="42"/>
      <c r="H13" s="42"/>
      <c r="I13" s="42"/>
      <c r="J13" s="42"/>
      <c r="K13" s="150"/>
      <c r="L13" s="150"/>
      <c r="M13" s="150"/>
      <c r="N13" s="150"/>
      <c r="O13" s="150"/>
      <c r="P13" s="150"/>
      <c r="Q13" s="266"/>
      <c r="R13" s="266"/>
      <c r="S13" s="266"/>
      <c r="T13" s="266"/>
      <c r="IU13" s="205">
        <v>1</v>
      </c>
    </row>
    <row r="14" s="638" customFormat="1" ht="10.5" customHeight="1" spans="2:255">
      <c r="B14" s="641"/>
      <c r="D14" s="642"/>
      <c r="K14" s="150"/>
      <c r="L14" s="150"/>
      <c r="M14" s="150"/>
      <c r="N14" s="150"/>
      <c r="O14" s="150"/>
      <c r="P14" s="150"/>
      <c r="Q14" s="266"/>
      <c r="R14" s="266"/>
      <c r="S14" s="266"/>
      <c r="T14" s="266"/>
      <c r="IU14" s="638">
        <v>10</v>
      </c>
    </row>
    <row r="15" s="638" customFormat="1" ht="10.5" customHeight="1" spans="2:255">
      <c r="B15" s="641"/>
      <c r="D15" s="642"/>
      <c r="K15" s="150"/>
      <c r="L15" s="150"/>
      <c r="M15" s="150"/>
      <c r="N15" s="150"/>
      <c r="O15" s="150"/>
      <c r="P15" s="150"/>
      <c r="Q15" s="266"/>
      <c r="R15" s="266"/>
      <c r="S15" s="266"/>
      <c r="T15" s="266"/>
      <c r="IU15" s="638">
        <v>10</v>
      </c>
    </row>
    <row r="16" ht="14.7" customHeight="1" spans="255:255">
      <c r="IU16" s="42">
        <v>14</v>
      </c>
    </row>
    <row r="17" ht="14.7" customHeight="1" spans="255:255">
      <c r="IU17" s="42">
        <v>14</v>
      </c>
    </row>
    <row r="18" ht="14.7" customHeight="1" spans="255:255">
      <c r="IU18" s="42">
        <v>14</v>
      </c>
    </row>
    <row r="19" ht="14.7" customHeight="1" spans="7:255">
      <c r="G19"/>
      <c r="H19"/>
      <c r="I19"/>
      <c r="IU19" s="42">
        <v>14</v>
      </c>
    </row>
    <row r="20" ht="14.7" customHeight="1" spans="255:255">
      <c r="IU20" s="42">
        <v>14</v>
      </c>
    </row>
    <row r="21" ht="14.7" customHeight="1" spans="255:255">
      <c r="IU21" s="42">
        <v>14</v>
      </c>
    </row>
    <row r="22" ht="14.7" customHeight="1" spans="255:255">
      <c r="IU22" s="42">
        <v>14</v>
      </c>
    </row>
    <row r="23" ht="14.7" customHeight="1" spans="11:255">
      <c r="K23" s="42"/>
      <c r="L23" s="42"/>
      <c r="M23" s="42"/>
      <c r="IU23" s="42">
        <v>14</v>
      </c>
    </row>
    <row r="24" ht="22.5" hidden="1" customHeight="1" spans="1:255">
      <c r="A24" s="42" t="s">
        <v>83</v>
      </c>
      <c r="B24" s="37">
        <v>0</v>
      </c>
      <c r="C24" s="42">
        <v>0</v>
      </c>
      <c r="D24" s="216">
        <v>3</v>
      </c>
      <c r="E24" s="42">
        <v>6</v>
      </c>
      <c r="F24" s="42">
        <v>46</v>
      </c>
      <c r="G24" s="42">
        <v>16</v>
      </c>
      <c r="H24" s="42">
        <v>16</v>
      </c>
      <c r="I24" s="42">
        <v>35</v>
      </c>
      <c r="J24" s="42">
        <v>89</v>
      </c>
      <c r="K24" s="150">
        <v>3</v>
      </c>
      <c r="L24" s="150">
        <v>8</v>
      </c>
      <c r="M24" s="150">
        <v>8</v>
      </c>
      <c r="N24" s="150">
        <v>8</v>
      </c>
      <c r="O24" s="150">
        <v>25</v>
      </c>
      <c r="P24" s="150">
        <v>14</v>
      </c>
      <c r="Q24" s="266">
        <v>8</v>
      </c>
      <c r="R24" s="266">
        <v>8</v>
      </c>
      <c r="S24" s="266">
        <v>8</v>
      </c>
      <c r="T24" s="266">
        <v>8</v>
      </c>
      <c r="U24" s="42">
        <v>8</v>
      </c>
      <c r="V24" s="42">
        <v>8</v>
      </c>
      <c r="W24" s="42">
        <v>8</v>
      </c>
      <c r="X24" s="42">
        <v>8</v>
      </c>
      <c r="Y24" s="42">
        <v>8</v>
      </c>
      <c r="Z24" s="42">
        <v>8</v>
      </c>
      <c r="AA24" s="42">
        <v>8</v>
      </c>
      <c r="AB24" s="42">
        <v>8</v>
      </c>
      <c r="AC24" s="42">
        <v>8</v>
      </c>
      <c r="AD24" s="42">
        <v>8</v>
      </c>
      <c r="AE24" s="42">
        <v>8</v>
      </c>
      <c r="AF24" s="42">
        <v>8</v>
      </c>
      <c r="AG24" s="42">
        <v>8</v>
      </c>
      <c r="AH24" s="42">
        <v>8</v>
      </c>
      <c r="AI24" s="42">
        <v>8</v>
      </c>
      <c r="AJ24" s="42">
        <v>8</v>
      </c>
      <c r="AK24" s="42">
        <v>8</v>
      </c>
      <c r="AL24" s="42">
        <v>8</v>
      </c>
      <c r="AM24" s="42">
        <v>8</v>
      </c>
      <c r="AN24" s="42">
        <v>8</v>
      </c>
      <c r="AO24" s="42">
        <v>8</v>
      </c>
      <c r="AP24" s="42">
        <v>8</v>
      </c>
      <c r="AQ24" s="42">
        <v>8</v>
      </c>
      <c r="AR24" s="42">
        <v>8</v>
      </c>
      <c r="AS24" s="42">
        <v>8</v>
      </c>
      <c r="AT24" s="42">
        <v>8</v>
      </c>
      <c r="AU24" s="42">
        <v>8</v>
      </c>
      <c r="AV24" s="42">
        <v>8</v>
      </c>
      <c r="AW24" s="42">
        <v>8</v>
      </c>
      <c r="AX24" s="42">
        <v>8</v>
      </c>
      <c r="AY24" s="42">
        <v>8</v>
      </c>
      <c r="AZ24" s="42">
        <v>8</v>
      </c>
      <c r="BA24" s="42">
        <v>8</v>
      </c>
      <c r="BB24" s="42">
        <v>8</v>
      </c>
      <c r="BC24" s="42">
        <v>8</v>
      </c>
      <c r="BD24" s="42">
        <v>8</v>
      </c>
      <c r="BE24" s="42">
        <v>8</v>
      </c>
      <c r="BF24" s="42">
        <v>8</v>
      </c>
      <c r="BG24" s="42">
        <v>8</v>
      </c>
      <c r="BH24" s="42">
        <v>8</v>
      </c>
      <c r="BI24" s="42">
        <v>8</v>
      </c>
      <c r="BJ24" s="42">
        <v>8</v>
      </c>
      <c r="BK24" s="42">
        <v>8</v>
      </c>
      <c r="BL24" s="42">
        <v>8</v>
      </c>
      <c r="BM24" s="42">
        <v>8</v>
      </c>
      <c r="BN24" s="42">
        <v>8</v>
      </c>
      <c r="BO24" s="42">
        <v>8</v>
      </c>
      <c r="BP24" s="42">
        <v>8</v>
      </c>
      <c r="BQ24" s="42">
        <v>8</v>
      </c>
      <c r="BR24" s="42">
        <v>8</v>
      </c>
      <c r="BS24" s="42">
        <v>8</v>
      </c>
      <c r="BT24" s="42">
        <v>8</v>
      </c>
      <c r="BU24" s="42">
        <v>8</v>
      </c>
      <c r="BV24" s="42">
        <v>8</v>
      </c>
      <c r="BW24" s="42">
        <v>8</v>
      </c>
      <c r="BX24" s="42">
        <v>8</v>
      </c>
      <c r="BY24" s="42">
        <v>8</v>
      </c>
      <c r="BZ24" s="42">
        <v>8</v>
      </c>
      <c r="CA24" s="42">
        <v>8</v>
      </c>
      <c r="CB24" s="42">
        <v>8</v>
      </c>
      <c r="CC24" s="42">
        <v>8</v>
      </c>
      <c r="CD24" s="42">
        <v>8</v>
      </c>
      <c r="CE24" s="42">
        <v>8</v>
      </c>
      <c r="CF24" s="42">
        <v>8</v>
      </c>
      <c r="CG24" s="42">
        <v>8</v>
      </c>
      <c r="CH24" s="42">
        <v>8</v>
      </c>
      <c r="CI24" s="42">
        <v>8</v>
      </c>
      <c r="CJ24" s="42">
        <v>8</v>
      </c>
      <c r="CK24" s="42">
        <v>8</v>
      </c>
      <c r="CL24" s="42">
        <v>8</v>
      </c>
      <c r="CM24" s="42">
        <v>8</v>
      </c>
      <c r="CN24" s="42">
        <v>8</v>
      </c>
      <c r="CO24" s="42">
        <v>8</v>
      </c>
      <c r="CP24" s="42">
        <v>8</v>
      </c>
      <c r="CQ24" s="42">
        <v>8</v>
      </c>
      <c r="CR24" s="42">
        <v>8</v>
      </c>
      <c r="CS24" s="42">
        <v>8</v>
      </c>
      <c r="CT24" s="42">
        <v>8</v>
      </c>
      <c r="CU24" s="42">
        <v>8</v>
      </c>
      <c r="CV24" s="42">
        <v>8</v>
      </c>
      <c r="CW24" s="42">
        <v>8</v>
      </c>
      <c r="CX24" s="42">
        <v>8</v>
      </c>
      <c r="CY24" s="42">
        <v>8</v>
      </c>
      <c r="CZ24" s="42">
        <v>8</v>
      </c>
      <c r="DA24" s="42">
        <v>8</v>
      </c>
      <c r="DB24" s="42">
        <v>8</v>
      </c>
      <c r="DC24" s="42">
        <v>8</v>
      </c>
      <c r="DD24" s="42">
        <v>8</v>
      </c>
      <c r="DE24" s="42">
        <v>8</v>
      </c>
      <c r="DF24" s="42">
        <v>8</v>
      </c>
      <c r="DG24" s="42">
        <v>8</v>
      </c>
      <c r="DH24" s="42">
        <v>8</v>
      </c>
      <c r="DI24" s="42">
        <v>8</v>
      </c>
      <c r="DJ24" s="42">
        <v>8</v>
      </c>
      <c r="DK24" s="42">
        <v>8</v>
      </c>
      <c r="DL24" s="42">
        <v>8</v>
      </c>
      <c r="DM24" s="42">
        <v>8</v>
      </c>
      <c r="DN24" s="42">
        <v>8</v>
      </c>
      <c r="DO24" s="42">
        <v>8</v>
      </c>
      <c r="DP24" s="42">
        <v>8</v>
      </c>
      <c r="DQ24" s="42">
        <v>8</v>
      </c>
      <c r="DR24" s="42">
        <v>8</v>
      </c>
      <c r="DS24" s="42">
        <v>8</v>
      </c>
      <c r="DT24" s="42">
        <v>8</v>
      </c>
      <c r="DU24" s="42">
        <v>8</v>
      </c>
      <c r="DV24" s="42">
        <v>8</v>
      </c>
      <c r="DW24" s="42">
        <v>8</v>
      </c>
      <c r="DX24" s="42">
        <v>8</v>
      </c>
      <c r="DY24" s="42">
        <v>8</v>
      </c>
      <c r="DZ24" s="42">
        <v>8</v>
      </c>
      <c r="EA24" s="42">
        <v>8</v>
      </c>
      <c r="EB24" s="42">
        <v>8</v>
      </c>
      <c r="EC24" s="42">
        <v>8</v>
      </c>
      <c r="ED24" s="42">
        <v>8</v>
      </c>
      <c r="EE24" s="42">
        <v>8</v>
      </c>
      <c r="EF24" s="42">
        <v>8</v>
      </c>
      <c r="EG24" s="42">
        <v>8</v>
      </c>
      <c r="EH24" s="42">
        <v>8</v>
      </c>
      <c r="EI24" s="42">
        <v>8</v>
      </c>
      <c r="EJ24" s="42">
        <v>8</v>
      </c>
      <c r="EK24" s="42">
        <v>8</v>
      </c>
      <c r="EL24" s="42">
        <v>8</v>
      </c>
      <c r="EM24" s="42">
        <v>8</v>
      </c>
      <c r="EN24" s="42">
        <v>8</v>
      </c>
      <c r="EO24" s="42">
        <v>8</v>
      </c>
      <c r="EP24" s="42">
        <v>8</v>
      </c>
      <c r="EQ24" s="42">
        <v>8</v>
      </c>
      <c r="ER24" s="42">
        <v>8</v>
      </c>
      <c r="ES24" s="42">
        <v>8</v>
      </c>
      <c r="ET24" s="42">
        <v>8</v>
      </c>
      <c r="EU24" s="42">
        <v>8</v>
      </c>
      <c r="EV24" s="42">
        <v>8</v>
      </c>
      <c r="EW24" s="42">
        <v>8</v>
      </c>
      <c r="EX24" s="42">
        <v>8</v>
      </c>
      <c r="EY24" s="42">
        <v>8</v>
      </c>
      <c r="EZ24" s="42">
        <v>8</v>
      </c>
      <c r="FA24" s="42">
        <v>8</v>
      </c>
      <c r="FB24" s="42">
        <v>8</v>
      </c>
      <c r="FC24" s="42">
        <v>8</v>
      </c>
      <c r="FD24" s="42">
        <v>8</v>
      </c>
      <c r="FE24" s="42">
        <v>8</v>
      </c>
      <c r="FF24" s="42">
        <v>8</v>
      </c>
      <c r="FG24" s="42">
        <v>8</v>
      </c>
      <c r="FH24" s="42">
        <v>8</v>
      </c>
      <c r="FI24" s="42">
        <v>8</v>
      </c>
      <c r="FJ24" s="42">
        <v>8</v>
      </c>
      <c r="FK24" s="42">
        <v>8</v>
      </c>
      <c r="FL24" s="42">
        <v>8</v>
      </c>
      <c r="FM24" s="42">
        <v>8</v>
      </c>
      <c r="FN24" s="42">
        <v>8</v>
      </c>
      <c r="FO24" s="42">
        <v>8</v>
      </c>
      <c r="FP24" s="42">
        <v>8</v>
      </c>
      <c r="FQ24" s="42">
        <v>8</v>
      </c>
      <c r="FR24" s="42">
        <v>8</v>
      </c>
      <c r="FS24" s="42">
        <v>8</v>
      </c>
      <c r="FT24" s="42">
        <v>8</v>
      </c>
      <c r="FU24" s="42">
        <v>8</v>
      </c>
      <c r="FV24" s="42">
        <v>8</v>
      </c>
      <c r="FW24" s="42">
        <v>8</v>
      </c>
      <c r="FX24" s="42">
        <v>8</v>
      </c>
      <c r="FY24" s="42">
        <v>8</v>
      </c>
      <c r="FZ24" s="42">
        <v>8</v>
      </c>
      <c r="GA24" s="42">
        <v>8</v>
      </c>
      <c r="GB24" s="42">
        <v>8</v>
      </c>
      <c r="GC24" s="42">
        <v>8</v>
      </c>
      <c r="GD24" s="42">
        <v>8</v>
      </c>
      <c r="GE24" s="42">
        <v>8</v>
      </c>
      <c r="GF24" s="42">
        <v>8</v>
      </c>
      <c r="GG24" s="42">
        <v>8</v>
      </c>
      <c r="GH24" s="42">
        <v>8</v>
      </c>
      <c r="GI24" s="42">
        <v>8</v>
      </c>
      <c r="GJ24" s="42">
        <v>8</v>
      </c>
      <c r="GK24" s="42">
        <v>8</v>
      </c>
      <c r="GL24" s="42">
        <v>8</v>
      </c>
      <c r="GM24" s="42">
        <v>8</v>
      </c>
      <c r="GN24" s="42">
        <v>8</v>
      </c>
      <c r="GO24" s="42">
        <v>8</v>
      </c>
      <c r="GP24" s="42">
        <v>8</v>
      </c>
      <c r="GQ24" s="42">
        <v>8</v>
      </c>
      <c r="GR24" s="42">
        <v>8</v>
      </c>
      <c r="GS24" s="42">
        <v>8</v>
      </c>
      <c r="GT24" s="42">
        <v>8</v>
      </c>
      <c r="GU24" s="42">
        <v>8</v>
      </c>
      <c r="GV24" s="42">
        <v>8</v>
      </c>
      <c r="GW24" s="42">
        <v>8</v>
      </c>
      <c r="GX24" s="42">
        <v>8</v>
      </c>
      <c r="GY24" s="42">
        <v>8</v>
      </c>
      <c r="GZ24" s="42">
        <v>8</v>
      </c>
      <c r="HA24" s="42">
        <v>8</v>
      </c>
      <c r="HB24" s="42">
        <v>8</v>
      </c>
      <c r="HC24" s="42">
        <v>8</v>
      </c>
      <c r="HD24" s="42">
        <v>8</v>
      </c>
      <c r="HE24" s="42">
        <v>8</v>
      </c>
      <c r="HF24" s="42">
        <v>8</v>
      </c>
      <c r="HG24" s="42">
        <v>8</v>
      </c>
      <c r="HH24" s="42">
        <v>8</v>
      </c>
      <c r="HI24" s="42">
        <v>8</v>
      </c>
      <c r="HJ24" s="42">
        <v>8</v>
      </c>
      <c r="HK24" s="42">
        <v>8</v>
      </c>
      <c r="HL24" s="42">
        <v>8</v>
      </c>
      <c r="HM24" s="42">
        <v>8</v>
      </c>
      <c r="HN24" s="42">
        <v>8</v>
      </c>
      <c r="HO24" s="42">
        <v>8</v>
      </c>
      <c r="HP24" s="42">
        <v>8</v>
      </c>
      <c r="HQ24" s="42">
        <v>8</v>
      </c>
      <c r="HR24" s="42">
        <v>8</v>
      </c>
      <c r="HS24" s="42">
        <v>8</v>
      </c>
      <c r="HT24" s="42">
        <v>8</v>
      </c>
      <c r="HU24" s="42">
        <v>8</v>
      </c>
      <c r="HV24" s="42">
        <v>8</v>
      </c>
      <c r="HW24" s="42">
        <v>8</v>
      </c>
      <c r="HX24" s="42">
        <v>8</v>
      </c>
      <c r="HY24" s="42">
        <v>8</v>
      </c>
      <c r="HZ24" s="42">
        <v>8</v>
      </c>
      <c r="IA24" s="42">
        <v>8</v>
      </c>
      <c r="IB24" s="42">
        <v>8</v>
      </c>
      <c r="IC24" s="42">
        <v>8</v>
      </c>
      <c r="ID24" s="42">
        <v>8</v>
      </c>
      <c r="IE24" s="42">
        <v>8</v>
      </c>
      <c r="IF24" s="42">
        <v>8</v>
      </c>
      <c r="IG24" s="42">
        <v>8</v>
      </c>
      <c r="IH24" s="42">
        <v>8</v>
      </c>
      <c r="II24" s="42">
        <v>8</v>
      </c>
      <c r="IJ24" s="42">
        <v>8</v>
      </c>
      <c r="IK24" s="42">
        <v>8</v>
      </c>
      <c r="IL24" s="42">
        <v>8</v>
      </c>
      <c r="IM24" s="42">
        <v>8</v>
      </c>
      <c r="IN24" s="42">
        <v>8</v>
      </c>
      <c r="IO24" s="42">
        <v>8</v>
      </c>
      <c r="IP24" s="42">
        <v>8</v>
      </c>
      <c r="IQ24" s="42">
        <v>8</v>
      </c>
      <c r="IR24" s="42">
        <v>8</v>
      </c>
      <c r="IS24" s="42">
        <v>8</v>
      </c>
      <c r="IT24" s="42">
        <v>8</v>
      </c>
      <c r="IU24" s="42">
        <v>23</v>
      </c>
    </row>
  </sheetData>
  <sheetProtection formatColumns="0" formatRows="0" insertRows="0" deleteColumns="0" deleteRows="0" sort="0" autoFilter="0"/>
  <mergeCells count="4">
    <mergeCell ref="E5:J5"/>
    <mergeCell ref="E7:I7"/>
    <mergeCell ref="J7:J8"/>
    <mergeCell ref="J9:J10"/>
  </mergeCells>
  <dataValidations count="2">
    <dataValidation type="textLength" operator="between" allowBlank="1" showInputMessage="1" showErrorMessage="1" prompt="ОГРН состоит из 13 цифр, ОГРНИП - из 15" sqref="I2 I9">
      <formula1>13</formula1>
      <formula2>15</formula2>
    </dataValidation>
    <dataValidation type="textLength" operator="between" allowBlank="1" showInputMessage="1" showErrorMessage="1" sqref="I3">
      <formula1>13</formula1>
      <formula2>15</formula2>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15"/>
  <sheetViews>
    <sheetView showGridLines="0" zoomScale="90" zoomScaleNormal="90" workbookViewId="0">
      <pane xSplit="6" ySplit="9" topLeftCell="G10"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2" hidden="1"/>
    <col min="2" max="2" width="9.14285714285714" style="37" hidden="1"/>
    <col min="3" max="3" width="3.71428571428571" style="42" hidden="1" customWidth="1"/>
    <col min="4" max="4" width="3" style="216" customWidth="1"/>
    <col min="5" max="5" width="6" style="42" customWidth="1"/>
    <col min="6" max="6" width="27" style="42" customWidth="1"/>
    <col min="7" max="7" width="16" style="42" customWidth="1"/>
    <col min="8" max="8" width="12" style="42" customWidth="1"/>
    <col min="9" max="9" width="32" style="42" customWidth="1"/>
    <col min="10" max="11" width="41" style="42" customWidth="1"/>
    <col min="12" max="12" width="89" style="42" customWidth="1"/>
    <col min="13" max="13" width="3" style="150" customWidth="1"/>
    <col min="14" max="16" width="8" style="150" customWidth="1"/>
    <col min="17" max="17" width="25" style="150" customWidth="1"/>
    <col min="18" max="18" width="14" style="150" customWidth="1"/>
    <col min="19" max="22" width="8" style="266" customWidth="1"/>
    <col min="23" max="256" width="8" style="42" customWidth="1"/>
    <col min="257" max="257" width="9.14285714285714" style="42" hidden="1"/>
  </cols>
  <sheetData>
    <row r="1" ht="22.5" hidden="1" customHeight="1" spans="257:257">
      <c r="IW1" s="42" t="s">
        <v>14</v>
      </c>
    </row>
    <row r="2" customFormat="1" ht="22.5" hidden="1" customHeight="1" spans="1:257">
      <c r="A2" s="586"/>
      <c r="B2" s="37">
        <v>1</v>
      </c>
      <c r="C2" s="37"/>
      <c r="D2" s="583" t="s">
        <v>521</v>
      </c>
      <c r="E2" s="125"/>
      <c r="F2" s="59" t="str">
        <f>IF(ROIV_INFO_NAME="","",ROIV_INFO_NAME)</f>
        <v>АО "ОЭЗ ППТ "Алабуга"</v>
      </c>
      <c r="G2" s="635" t="s">
        <v>28</v>
      </c>
      <c r="H2" s="617"/>
      <c r="I2" s="624"/>
      <c r="J2" s="625"/>
      <c r="K2" s="625"/>
      <c r="L2" s="626"/>
      <c r="M2" s="602" t="e">
        <f>MERGEVALUE(F2)</f>
        <v>#NAME?</v>
      </c>
      <c r="N2" s="43"/>
      <c r="O2" s="43"/>
      <c r="P2" s="150" t="str">
        <f t="array" ref="P2">IF(ISERROR(MATCH(MID(Q2,1,250),MID(note_ter,1,250),0)),"n","y")</f>
        <v>n</v>
      </c>
      <c r="Q2" s="43"/>
      <c r="R2" s="150" t="str">
        <f>G2&amp;"("&amp;L2&amp;")"</f>
        <v>()</v>
      </c>
      <c r="S2" s="37"/>
      <c r="T2" s="37"/>
      <c r="U2" s="287"/>
      <c r="V2" s="37"/>
      <c r="W2" s="37"/>
      <c r="X2" s="37"/>
      <c r="Y2" s="263"/>
      <c r="Z2" s="263"/>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263"/>
      <c r="BW2" s="263"/>
      <c r="BX2" s="263"/>
      <c r="BY2" s="263"/>
      <c r="BZ2" s="263"/>
      <c r="CA2" s="263"/>
      <c r="CB2" s="263"/>
      <c r="CC2" s="263"/>
      <c r="CD2" s="263"/>
      <c r="CE2" s="263"/>
      <c r="IW2">
        <v>0</v>
      </c>
    </row>
    <row r="3" s="43" customFormat="1" ht="5.25" hidden="1" customHeight="1" spans="1:257">
      <c r="A3" s="36"/>
      <c r="D3" s="92"/>
      <c r="F3" s="587" t="s">
        <v>84</v>
      </c>
      <c r="G3" s="618" t="s">
        <v>85</v>
      </c>
      <c r="H3" s="92"/>
      <c r="I3" s="92"/>
      <c r="J3" s="92"/>
      <c r="K3" s="92"/>
      <c r="L3" s="627" t="s">
        <v>86</v>
      </c>
      <c r="M3" s="587" t="s">
        <v>84</v>
      </c>
      <c r="N3" s="587"/>
      <c r="O3" s="587"/>
      <c r="P3" s="587"/>
      <c r="Q3" s="587"/>
      <c r="R3" s="587"/>
      <c r="S3" s="587"/>
      <c r="T3" s="587"/>
      <c r="U3" s="587"/>
      <c r="V3" s="58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627"/>
      <c r="CM3" s="627"/>
      <c r="CN3" s="627"/>
      <c r="CO3" s="627"/>
      <c r="CP3" s="627"/>
      <c r="CQ3" s="627"/>
      <c r="CR3" s="627"/>
      <c r="CS3" s="627"/>
      <c r="CT3" s="627"/>
      <c r="CU3" s="627"/>
      <c r="CV3" s="627"/>
      <c r="CW3" s="627"/>
      <c r="CX3" s="627"/>
      <c r="CY3" s="627"/>
      <c r="CZ3" s="627"/>
      <c r="DA3" s="627"/>
      <c r="DB3" s="627"/>
      <c r="DC3" s="627"/>
      <c r="DD3" s="627"/>
      <c r="DE3" s="627"/>
      <c r="DF3" s="627"/>
      <c r="DG3" s="627"/>
      <c r="DH3" s="627"/>
      <c r="DI3" s="627"/>
      <c r="DJ3" s="627"/>
      <c r="DK3" s="627"/>
      <c r="DL3" s="627"/>
      <c r="DM3" s="627"/>
      <c r="DN3" s="627"/>
      <c r="DO3" s="627"/>
      <c r="DP3" s="627"/>
      <c r="DQ3" s="627"/>
      <c r="DR3" s="627"/>
      <c r="DS3" s="627"/>
      <c r="DT3" s="627"/>
      <c r="DU3" s="627"/>
      <c r="DV3" s="627"/>
      <c r="DW3" s="627"/>
      <c r="DX3" s="627"/>
      <c r="DY3" s="627"/>
      <c r="DZ3" s="627"/>
      <c r="EA3" s="627"/>
      <c r="EB3" s="627"/>
      <c r="EC3" s="627"/>
      <c r="ED3" s="627"/>
      <c r="EE3" s="627"/>
      <c r="EF3" s="627"/>
      <c r="EG3" s="627"/>
      <c r="EH3" s="627"/>
      <c r="EI3" s="627"/>
      <c r="EJ3" s="627"/>
      <c r="EK3" s="627"/>
      <c r="EL3" s="627"/>
      <c r="EM3" s="627"/>
      <c r="EN3" s="627"/>
      <c r="EO3" s="627"/>
      <c r="EP3" s="627"/>
      <c r="EQ3" s="627"/>
      <c r="ER3" s="627"/>
      <c r="ES3" s="627"/>
      <c r="ET3" s="627"/>
      <c r="EU3" s="627"/>
      <c r="EV3" s="627"/>
      <c r="EW3" s="627"/>
      <c r="EX3" s="627"/>
      <c r="EY3" s="627"/>
      <c r="EZ3" s="627"/>
      <c r="FA3" s="627"/>
      <c r="FB3" s="627"/>
      <c r="FC3" s="627"/>
      <c r="FD3" s="627"/>
      <c r="FE3" s="627"/>
      <c r="FF3" s="627"/>
      <c r="FG3" s="627"/>
      <c r="FH3" s="627"/>
      <c r="FI3" s="627"/>
      <c r="FJ3" s="627"/>
      <c r="FK3" s="627"/>
      <c r="FL3" s="627"/>
      <c r="FM3" s="627"/>
      <c r="FN3" s="627"/>
      <c r="FO3" s="627"/>
      <c r="FP3" s="627"/>
      <c r="FQ3" s="627"/>
      <c r="FR3" s="627"/>
      <c r="FS3" s="627"/>
      <c r="FT3" s="627"/>
      <c r="FU3" s="627"/>
      <c r="FV3" s="627"/>
      <c r="FW3" s="627"/>
      <c r="FX3" s="627"/>
      <c r="FY3" s="627"/>
      <c r="FZ3" s="627"/>
      <c r="GA3" s="627"/>
      <c r="GB3" s="627"/>
      <c r="GC3" s="627"/>
      <c r="GD3" s="627"/>
      <c r="GE3" s="627"/>
      <c r="GF3" s="627"/>
      <c r="GG3" s="627"/>
      <c r="GH3" s="627"/>
      <c r="GI3" s="627"/>
      <c r="GJ3" s="627"/>
      <c r="GK3" s="627"/>
      <c r="GL3" s="627"/>
      <c r="GM3" s="627"/>
      <c r="GN3" s="627"/>
      <c r="GO3" s="627"/>
      <c r="GP3" s="627"/>
      <c r="GQ3" s="627"/>
      <c r="GR3" s="627"/>
      <c r="GS3" s="627"/>
      <c r="GT3" s="627"/>
      <c r="GU3" s="627"/>
      <c r="GV3" s="627"/>
      <c r="GW3" s="627"/>
      <c r="GX3" s="627"/>
      <c r="GY3" s="627"/>
      <c r="GZ3" s="627"/>
      <c r="HA3" s="627"/>
      <c r="HB3" s="627"/>
      <c r="HC3" s="627"/>
      <c r="HD3" s="627"/>
      <c r="HE3" s="627"/>
      <c r="HF3" s="627"/>
      <c r="HG3" s="627"/>
      <c r="HH3" s="627"/>
      <c r="HI3" s="627"/>
      <c r="HJ3" s="627"/>
      <c r="HK3" s="627"/>
      <c r="HL3" s="627"/>
      <c r="HM3" s="627"/>
      <c r="HN3" s="627"/>
      <c r="HO3" s="627"/>
      <c r="HP3" s="627"/>
      <c r="HQ3" s="627"/>
      <c r="HR3" s="627"/>
      <c r="HS3" s="627"/>
      <c r="HT3" s="627"/>
      <c r="HU3" s="627"/>
      <c r="HV3" s="627"/>
      <c r="HW3" s="627"/>
      <c r="HX3" s="627"/>
      <c r="HY3" s="627"/>
      <c r="HZ3" s="627"/>
      <c r="IA3" s="627"/>
      <c r="IB3" s="627"/>
      <c r="IC3" s="627"/>
      <c r="ID3" s="627"/>
      <c r="IE3" s="627"/>
      <c r="IF3" s="627"/>
      <c r="IG3" s="627"/>
      <c r="IH3" s="627"/>
      <c r="II3" s="627"/>
      <c r="IJ3" s="627"/>
      <c r="IK3" s="627"/>
      <c r="IL3" s="627"/>
      <c r="IM3" s="627"/>
      <c r="IN3" s="627"/>
      <c r="IO3" s="627"/>
      <c r="IP3" s="627"/>
      <c r="IQ3" s="627"/>
      <c r="IR3" s="627"/>
      <c r="IS3" s="627"/>
      <c r="IT3" s="627"/>
      <c r="IU3" s="627"/>
      <c r="IV3" s="627"/>
      <c r="IW3" s="43">
        <v>0</v>
      </c>
    </row>
    <row r="4" s="205" customFormat="1" ht="14.7" customHeight="1" spans="1:257">
      <c r="A4" s="42"/>
      <c r="B4" s="37"/>
      <c r="C4" s="42"/>
      <c r="D4" s="216"/>
      <c r="E4" s="42"/>
      <c r="F4" s="42"/>
      <c r="G4" s="42"/>
      <c r="H4" s="42"/>
      <c r="I4" s="42"/>
      <c r="J4" s="42"/>
      <c r="K4" s="42"/>
      <c r="L4" s="60"/>
      <c r="M4" s="587"/>
      <c r="N4" s="150"/>
      <c r="O4" s="150"/>
      <c r="P4" s="150"/>
      <c r="Q4" s="150"/>
      <c r="R4" s="150"/>
      <c r="S4" s="266"/>
      <c r="T4" s="266"/>
      <c r="U4" s="266"/>
      <c r="V4" s="266"/>
      <c r="IW4" s="205">
        <v>14</v>
      </c>
    </row>
    <row r="5" s="205" customFormat="1" ht="27.3" customHeight="1" spans="1:257">
      <c r="A5" s="42"/>
      <c r="B5" s="37"/>
      <c r="C5" s="42"/>
      <c r="D5" s="216"/>
      <c r="E5" s="5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562"/>
      <c r="G5" s="562"/>
      <c r="H5" s="562"/>
      <c r="I5" s="562"/>
      <c r="J5" s="562"/>
      <c r="K5" s="562"/>
      <c r="L5" s="42"/>
      <c r="M5" s="587"/>
      <c r="N5" s="150"/>
      <c r="O5" s="150"/>
      <c r="P5" s="150"/>
      <c r="Q5" s="150"/>
      <c r="R5" s="150"/>
      <c r="S5" s="266"/>
      <c r="T5" s="266"/>
      <c r="U5" s="266"/>
      <c r="V5" s="266"/>
      <c r="IW5" s="205">
        <v>26</v>
      </c>
    </row>
    <row r="6" s="205" customFormat="1" ht="14.7" customHeight="1" spans="1:257">
      <c r="A6" s="42"/>
      <c r="B6" s="37"/>
      <c r="C6" s="42"/>
      <c r="D6" s="216"/>
      <c r="E6" s="42"/>
      <c r="F6" s="591"/>
      <c r="G6" s="591"/>
      <c r="H6" s="591"/>
      <c r="I6" s="591"/>
      <c r="J6" s="591"/>
      <c r="K6" s="591"/>
      <c r="L6" s="586"/>
      <c r="M6" s="150"/>
      <c r="N6" s="150"/>
      <c r="O6" s="150"/>
      <c r="P6" s="150"/>
      <c r="Q6" s="150"/>
      <c r="R6" s="150"/>
      <c r="S6" s="266"/>
      <c r="T6" s="266"/>
      <c r="U6" s="266"/>
      <c r="V6" s="266"/>
      <c r="IW6" s="205">
        <v>14</v>
      </c>
    </row>
    <row r="7" s="205" customFormat="1" ht="14.7" customHeight="1" spans="1:257">
      <c r="A7" s="42"/>
      <c r="B7" s="37"/>
      <c r="C7" s="42"/>
      <c r="D7" s="216"/>
      <c r="E7" s="125" t="s">
        <v>305</v>
      </c>
      <c r="F7" s="127"/>
      <c r="G7" s="127"/>
      <c r="H7" s="127"/>
      <c r="I7" s="127"/>
      <c r="J7" s="127"/>
      <c r="K7" s="127"/>
      <c r="L7" s="628" t="s">
        <v>306</v>
      </c>
      <c r="M7" s="150"/>
      <c r="N7" s="150"/>
      <c r="O7" s="150"/>
      <c r="P7" s="150"/>
      <c r="Q7" s="150"/>
      <c r="R7" s="150"/>
      <c r="S7" s="266"/>
      <c r="T7" s="266"/>
      <c r="U7" s="266"/>
      <c r="V7" s="266"/>
      <c r="IW7" s="205">
        <v>14</v>
      </c>
    </row>
    <row r="8" s="205" customFormat="1" ht="67.2" customHeight="1" spans="1:257">
      <c r="A8" s="42"/>
      <c r="B8" s="37"/>
      <c r="C8" s="42"/>
      <c r="D8" s="216"/>
      <c r="E8" s="594" t="s">
        <v>89</v>
      </c>
      <c r="F8" s="59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60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619"/>
      <c r="I8" s="629"/>
      <c r="J8" s="59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5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630"/>
      <c r="M8" s="150"/>
      <c r="N8" s="150"/>
      <c r="O8" s="150"/>
      <c r="P8" s="150"/>
      <c r="Q8" s="150"/>
      <c r="R8" s="150"/>
      <c r="S8" s="266"/>
      <c r="T8" s="266"/>
      <c r="U8" s="266"/>
      <c r="V8" s="266"/>
      <c r="IW8" s="205">
        <v>64</v>
      </c>
    </row>
    <row r="9" s="205" customFormat="1" ht="29.25" customHeight="1" spans="1:257">
      <c r="A9" s="42"/>
      <c r="B9" s="37"/>
      <c r="C9" s="42"/>
      <c r="D9" s="216"/>
      <c r="E9" s="611"/>
      <c r="F9" s="611"/>
      <c r="G9" s="611" t="s">
        <v>1891</v>
      </c>
      <c r="H9" s="611" t="s">
        <v>1892</v>
      </c>
      <c r="I9" s="611" t="s">
        <v>1893</v>
      </c>
      <c r="J9" s="611"/>
      <c r="K9" s="611"/>
      <c r="L9" s="631"/>
      <c r="M9" s="150"/>
      <c r="N9" s="150"/>
      <c r="O9" s="150"/>
      <c r="P9" s="150"/>
      <c r="Q9" s="150"/>
      <c r="R9" s="150"/>
      <c r="S9" s="266"/>
      <c r="T9" s="266"/>
      <c r="U9" s="266"/>
      <c r="V9" s="266"/>
      <c r="IW9" s="205">
        <v>28</v>
      </c>
    </row>
    <row r="10" customFormat="1" ht="23.25" customHeight="1" spans="1:257">
      <c r="A10" s="85"/>
      <c r="B10" s="37">
        <v>1</v>
      </c>
      <c r="C10" s="37"/>
      <c r="D10" s="220"/>
      <c r="E10" s="72">
        <v>1</v>
      </c>
      <c r="F10" s="636" t="str">
        <f>IF(ROIV_INFO_NAME="","",ROIV_INFO_NAME)</f>
        <v>АО "ОЭЗ ППТ "Алабуга"</v>
      </c>
      <c r="G10" s="254" t="s">
        <v>28</v>
      </c>
      <c r="H10" s="617"/>
      <c r="I10" s="637"/>
      <c r="J10" s="625"/>
      <c r="K10" s="625"/>
      <c r="L10" s="6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602" t="e">
        <f>MERGEVALUE(F10)</f>
        <v>#NAME?</v>
      </c>
      <c r="N10" s="43"/>
      <c r="O10" s="43"/>
      <c r="P10" s="150" t="str">
        <f t="array" ref="P10">IF(ISERROR(MATCH(MID(Q10,1,250),MID(note_ter,1,250),0)),"n","y")</f>
        <v>n</v>
      </c>
      <c r="Q10" s="43"/>
      <c r="R10" s="150"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37"/>
      <c r="T10" s="37"/>
      <c r="U10" s="287"/>
      <c r="V10" s="37"/>
      <c r="W10" s="37"/>
      <c r="X10" s="37"/>
      <c r="Y10" s="263"/>
      <c r="Z10" s="263"/>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263"/>
      <c r="BW10" s="263"/>
      <c r="BX10" s="263"/>
      <c r="BY10" s="263"/>
      <c r="BZ10" s="263"/>
      <c r="CA10" s="263"/>
      <c r="CB10" s="263"/>
      <c r="CC10" s="263"/>
      <c r="CD10" s="263"/>
      <c r="CE10" s="263"/>
      <c r="IW10">
        <v>22</v>
      </c>
    </row>
    <row r="11" customFormat="1" ht="15.75" customHeight="1" spans="1:257">
      <c r="A11" s="85"/>
      <c r="B11" s="37"/>
      <c r="C11" s="223"/>
      <c r="D11" s="215"/>
      <c r="E11" s="224"/>
      <c r="F11" s="331" t="s">
        <v>1894</v>
      </c>
      <c r="G11" s="227"/>
      <c r="H11" s="227"/>
      <c r="I11" s="227"/>
      <c r="J11" s="227"/>
      <c r="K11" s="268"/>
      <c r="L11" s="634"/>
      <c r="M11" s="616"/>
      <c r="N11" s="43"/>
      <c r="O11" s="43"/>
      <c r="P11" s="43"/>
      <c r="Q11" s="150"/>
      <c r="R11" s="43"/>
      <c r="S11" s="37"/>
      <c r="T11" s="37"/>
      <c r="U11" s="287"/>
      <c r="V11" s="37"/>
      <c r="W11" s="37"/>
      <c r="X11" s="37"/>
      <c r="Y11" s="263"/>
      <c r="Z11" s="263"/>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263"/>
      <c r="BW11" s="263"/>
      <c r="BX11" s="263"/>
      <c r="BY11" s="263"/>
      <c r="BZ11" s="263"/>
      <c r="CA11" s="263"/>
      <c r="CB11" s="263"/>
      <c r="CC11" s="263"/>
      <c r="CD11" s="263"/>
      <c r="CE11" s="263"/>
      <c r="IW11">
        <v>15</v>
      </c>
    </row>
    <row r="12" s="205" customFormat="1" ht="22.05" customHeight="1" spans="1:257">
      <c r="A12" s="42"/>
      <c r="B12" s="37"/>
      <c r="C12" s="42"/>
      <c r="D12" s="216"/>
      <c r="E12" s="600"/>
      <c r="F12" s="600"/>
      <c r="G12" s="600"/>
      <c r="H12" s="600"/>
      <c r="I12" s="600"/>
      <c r="J12" s="600"/>
      <c r="K12" s="600"/>
      <c r="L12" s="600"/>
      <c r="M12" s="150"/>
      <c r="N12" s="150"/>
      <c r="O12" s="150"/>
      <c r="P12" s="150"/>
      <c r="Q12" s="150"/>
      <c r="R12" s="150"/>
      <c r="S12" s="266"/>
      <c r="T12" s="266"/>
      <c r="U12" s="266"/>
      <c r="V12" s="266"/>
      <c r="IW12" s="205">
        <v>21</v>
      </c>
    </row>
    <row r="13" s="205" customFormat="1" ht="14.7" customHeight="1" spans="1:257">
      <c r="A13" s="42"/>
      <c r="B13" s="37"/>
      <c r="C13" s="42"/>
      <c r="D13" s="216"/>
      <c r="E13" s="42"/>
      <c r="F13" s="42"/>
      <c r="G13" s="42"/>
      <c r="H13" s="42"/>
      <c r="I13" s="42"/>
      <c r="J13" s="42"/>
      <c r="K13" s="42"/>
      <c r="L13" s="42"/>
      <c r="M13" s="150"/>
      <c r="N13" s="150"/>
      <c r="O13" s="150"/>
      <c r="P13" s="150"/>
      <c r="Q13" s="150"/>
      <c r="R13" s="150"/>
      <c r="S13" s="266"/>
      <c r="T13" s="266"/>
      <c r="U13" s="266"/>
      <c r="V13" s="266"/>
      <c r="IW13" s="205">
        <v>14</v>
      </c>
    </row>
    <row r="14" s="205" customFormat="1" ht="1.05" customHeight="1" spans="1:257">
      <c r="A14" s="42"/>
      <c r="B14" s="37"/>
      <c r="C14" s="42"/>
      <c r="D14" s="216"/>
      <c r="E14" s="42"/>
      <c r="F14" s="42"/>
      <c r="G14" s="42"/>
      <c r="H14" s="42"/>
      <c r="I14" s="42"/>
      <c r="J14" s="42"/>
      <c r="K14" s="42"/>
      <c r="L14" s="42"/>
      <c r="M14" s="150"/>
      <c r="N14" s="150"/>
      <c r="O14" s="150"/>
      <c r="P14" s="150"/>
      <c r="Q14" s="150"/>
      <c r="R14" s="150"/>
      <c r="S14" s="266"/>
      <c r="T14" s="266"/>
      <c r="U14" s="266"/>
      <c r="V14" s="266"/>
      <c r="IW14" s="205">
        <v>1</v>
      </c>
    </row>
    <row r="15" ht="22.5" hidden="1" customHeight="1" spans="1:257">
      <c r="A15" s="42" t="s">
        <v>83</v>
      </c>
      <c r="B15" s="37">
        <v>0</v>
      </c>
      <c r="C15" s="42">
        <v>0</v>
      </c>
      <c r="D15" s="216">
        <v>3</v>
      </c>
      <c r="E15" s="42">
        <v>6</v>
      </c>
      <c r="F15" s="42">
        <v>27</v>
      </c>
      <c r="G15" s="42">
        <v>16</v>
      </c>
      <c r="H15" s="42">
        <v>12</v>
      </c>
      <c r="I15" s="42">
        <v>32</v>
      </c>
      <c r="J15" s="42">
        <v>41</v>
      </c>
      <c r="K15" s="42">
        <v>41</v>
      </c>
      <c r="L15" s="42">
        <v>89</v>
      </c>
      <c r="M15" s="150">
        <v>3</v>
      </c>
      <c r="N15" s="150">
        <v>8</v>
      </c>
      <c r="O15" s="150">
        <v>8</v>
      </c>
      <c r="P15" s="150">
        <v>8</v>
      </c>
      <c r="Q15" s="150">
        <v>25</v>
      </c>
      <c r="R15" s="150">
        <v>14</v>
      </c>
      <c r="S15" s="266">
        <v>8</v>
      </c>
      <c r="T15" s="266">
        <v>8</v>
      </c>
      <c r="U15" s="266">
        <v>8</v>
      </c>
      <c r="V15" s="266">
        <v>8</v>
      </c>
      <c r="W15" s="42">
        <v>8</v>
      </c>
      <c r="X15" s="42">
        <v>8</v>
      </c>
      <c r="Y15" s="42">
        <v>8</v>
      </c>
      <c r="Z15" s="42">
        <v>8</v>
      </c>
      <c r="AA15" s="42">
        <v>8</v>
      </c>
      <c r="AB15" s="42">
        <v>8</v>
      </c>
      <c r="AC15" s="42">
        <v>8</v>
      </c>
      <c r="AD15" s="42">
        <v>8</v>
      </c>
      <c r="AE15" s="42">
        <v>8</v>
      </c>
      <c r="AF15" s="42">
        <v>8</v>
      </c>
      <c r="AG15" s="42">
        <v>8</v>
      </c>
      <c r="AH15" s="42">
        <v>8</v>
      </c>
      <c r="AI15" s="42">
        <v>8</v>
      </c>
      <c r="AJ15" s="42">
        <v>8</v>
      </c>
      <c r="AK15" s="42">
        <v>8</v>
      </c>
      <c r="AL15" s="42">
        <v>8</v>
      </c>
      <c r="AM15" s="42">
        <v>8</v>
      </c>
      <c r="AN15" s="42">
        <v>8</v>
      </c>
      <c r="AO15" s="42">
        <v>8</v>
      </c>
      <c r="AP15" s="42">
        <v>8</v>
      </c>
      <c r="AQ15" s="42">
        <v>8</v>
      </c>
      <c r="AR15" s="42">
        <v>8</v>
      </c>
      <c r="AS15" s="42">
        <v>8</v>
      </c>
      <c r="AT15" s="42">
        <v>8</v>
      </c>
      <c r="AU15" s="42">
        <v>8</v>
      </c>
      <c r="AV15" s="42">
        <v>8</v>
      </c>
      <c r="AW15" s="42">
        <v>8</v>
      </c>
      <c r="AX15" s="42">
        <v>8</v>
      </c>
      <c r="AY15" s="42">
        <v>8</v>
      </c>
      <c r="AZ15" s="42">
        <v>8</v>
      </c>
      <c r="BA15" s="42">
        <v>8</v>
      </c>
      <c r="BB15" s="42">
        <v>8</v>
      </c>
      <c r="BC15" s="42">
        <v>8</v>
      </c>
      <c r="BD15" s="42">
        <v>8</v>
      </c>
      <c r="BE15" s="42">
        <v>8</v>
      </c>
      <c r="BF15" s="42">
        <v>8</v>
      </c>
      <c r="BG15" s="42">
        <v>8</v>
      </c>
      <c r="BH15" s="42">
        <v>8</v>
      </c>
      <c r="BI15" s="42">
        <v>8</v>
      </c>
      <c r="BJ15" s="42">
        <v>8</v>
      </c>
      <c r="BK15" s="42">
        <v>8</v>
      </c>
      <c r="BL15" s="42">
        <v>8</v>
      </c>
      <c r="BM15" s="42">
        <v>8</v>
      </c>
      <c r="BN15" s="42">
        <v>8</v>
      </c>
      <c r="BO15" s="42">
        <v>8</v>
      </c>
      <c r="BP15" s="42">
        <v>8</v>
      </c>
      <c r="BQ15" s="42">
        <v>8</v>
      </c>
      <c r="BR15" s="42">
        <v>8</v>
      </c>
      <c r="BS15" s="42">
        <v>8</v>
      </c>
      <c r="BT15" s="42">
        <v>8</v>
      </c>
      <c r="BU15" s="42">
        <v>8</v>
      </c>
      <c r="BV15" s="42">
        <v>8</v>
      </c>
      <c r="BW15" s="42">
        <v>8</v>
      </c>
      <c r="BX15" s="42">
        <v>8</v>
      </c>
      <c r="BY15" s="42">
        <v>8</v>
      </c>
      <c r="BZ15" s="42">
        <v>8</v>
      </c>
      <c r="CA15" s="42">
        <v>8</v>
      </c>
      <c r="CB15" s="42">
        <v>8</v>
      </c>
      <c r="CC15" s="42">
        <v>8</v>
      </c>
      <c r="CD15" s="42">
        <v>8</v>
      </c>
      <c r="CE15" s="42">
        <v>8</v>
      </c>
      <c r="CF15" s="42">
        <v>8</v>
      </c>
      <c r="CG15" s="42">
        <v>8</v>
      </c>
      <c r="CH15" s="42">
        <v>8</v>
      </c>
      <c r="CI15" s="42">
        <v>8</v>
      </c>
      <c r="CJ15" s="42">
        <v>8</v>
      </c>
      <c r="CK15" s="42">
        <v>8</v>
      </c>
      <c r="CL15" s="42">
        <v>8</v>
      </c>
      <c r="CM15" s="42">
        <v>8</v>
      </c>
      <c r="CN15" s="42">
        <v>8</v>
      </c>
      <c r="CO15" s="42">
        <v>8</v>
      </c>
      <c r="CP15" s="42">
        <v>8</v>
      </c>
      <c r="CQ15" s="42">
        <v>8</v>
      </c>
      <c r="CR15" s="42">
        <v>8</v>
      </c>
      <c r="CS15" s="42">
        <v>8</v>
      </c>
      <c r="CT15" s="42">
        <v>8</v>
      </c>
      <c r="CU15" s="42">
        <v>8</v>
      </c>
      <c r="CV15" s="42">
        <v>8</v>
      </c>
      <c r="CW15" s="42">
        <v>8</v>
      </c>
      <c r="CX15" s="42">
        <v>8</v>
      </c>
      <c r="CY15" s="42">
        <v>8</v>
      </c>
      <c r="CZ15" s="42">
        <v>8</v>
      </c>
      <c r="DA15" s="42">
        <v>8</v>
      </c>
      <c r="DB15" s="42">
        <v>8</v>
      </c>
      <c r="DC15" s="42">
        <v>8</v>
      </c>
      <c r="DD15" s="42">
        <v>8</v>
      </c>
      <c r="DE15" s="42">
        <v>8</v>
      </c>
      <c r="DF15" s="42">
        <v>8</v>
      </c>
      <c r="DG15" s="42">
        <v>8</v>
      </c>
      <c r="DH15" s="42">
        <v>8</v>
      </c>
      <c r="DI15" s="42">
        <v>8</v>
      </c>
      <c r="DJ15" s="42">
        <v>8</v>
      </c>
      <c r="DK15" s="42">
        <v>8</v>
      </c>
      <c r="DL15" s="42">
        <v>8</v>
      </c>
      <c r="DM15" s="42">
        <v>8</v>
      </c>
      <c r="DN15" s="42">
        <v>8</v>
      </c>
      <c r="DO15" s="42">
        <v>8</v>
      </c>
      <c r="DP15" s="42">
        <v>8</v>
      </c>
      <c r="DQ15" s="42">
        <v>8</v>
      </c>
      <c r="DR15" s="42">
        <v>8</v>
      </c>
      <c r="DS15" s="42">
        <v>8</v>
      </c>
      <c r="DT15" s="42">
        <v>8</v>
      </c>
      <c r="DU15" s="42">
        <v>8</v>
      </c>
      <c r="DV15" s="42">
        <v>8</v>
      </c>
      <c r="DW15" s="42">
        <v>8</v>
      </c>
      <c r="DX15" s="42">
        <v>8</v>
      </c>
      <c r="DY15" s="42">
        <v>8</v>
      </c>
      <c r="DZ15" s="42">
        <v>8</v>
      </c>
      <c r="EA15" s="42">
        <v>8</v>
      </c>
      <c r="EB15" s="42">
        <v>8</v>
      </c>
      <c r="EC15" s="42">
        <v>8</v>
      </c>
      <c r="ED15" s="42">
        <v>8</v>
      </c>
      <c r="EE15" s="42">
        <v>8</v>
      </c>
      <c r="EF15" s="42">
        <v>8</v>
      </c>
      <c r="EG15" s="42">
        <v>8</v>
      </c>
      <c r="EH15" s="42">
        <v>8</v>
      </c>
      <c r="EI15" s="42">
        <v>8</v>
      </c>
      <c r="EJ15" s="42">
        <v>8</v>
      </c>
      <c r="EK15" s="42">
        <v>8</v>
      </c>
      <c r="EL15" s="42">
        <v>8</v>
      </c>
      <c r="EM15" s="42">
        <v>8</v>
      </c>
      <c r="EN15" s="42">
        <v>8</v>
      </c>
      <c r="EO15" s="42">
        <v>8</v>
      </c>
      <c r="EP15" s="42">
        <v>8</v>
      </c>
      <c r="EQ15" s="42">
        <v>8</v>
      </c>
      <c r="ER15" s="42">
        <v>8</v>
      </c>
      <c r="ES15" s="42">
        <v>8</v>
      </c>
      <c r="ET15" s="42">
        <v>8</v>
      </c>
      <c r="EU15" s="42">
        <v>8</v>
      </c>
      <c r="EV15" s="42">
        <v>8</v>
      </c>
      <c r="EW15" s="42">
        <v>8</v>
      </c>
      <c r="EX15" s="42">
        <v>8</v>
      </c>
      <c r="EY15" s="42">
        <v>8</v>
      </c>
      <c r="EZ15" s="42">
        <v>8</v>
      </c>
      <c r="FA15" s="42">
        <v>8</v>
      </c>
      <c r="FB15" s="42">
        <v>8</v>
      </c>
      <c r="FC15" s="42">
        <v>8</v>
      </c>
      <c r="FD15" s="42">
        <v>8</v>
      </c>
      <c r="FE15" s="42">
        <v>8</v>
      </c>
      <c r="FF15" s="42">
        <v>8</v>
      </c>
      <c r="FG15" s="42">
        <v>8</v>
      </c>
      <c r="FH15" s="42">
        <v>8</v>
      </c>
      <c r="FI15" s="42">
        <v>8</v>
      </c>
      <c r="FJ15" s="42">
        <v>8</v>
      </c>
      <c r="FK15" s="42">
        <v>8</v>
      </c>
      <c r="FL15" s="42">
        <v>8</v>
      </c>
      <c r="FM15" s="42">
        <v>8</v>
      </c>
      <c r="FN15" s="42">
        <v>8</v>
      </c>
      <c r="FO15" s="42">
        <v>8</v>
      </c>
      <c r="FP15" s="42">
        <v>8</v>
      </c>
      <c r="FQ15" s="42">
        <v>8</v>
      </c>
      <c r="FR15" s="42">
        <v>8</v>
      </c>
      <c r="FS15" s="42">
        <v>8</v>
      </c>
      <c r="FT15" s="42">
        <v>8</v>
      </c>
      <c r="FU15" s="42">
        <v>8</v>
      </c>
      <c r="FV15" s="42">
        <v>8</v>
      </c>
      <c r="FW15" s="42">
        <v>8</v>
      </c>
      <c r="FX15" s="42">
        <v>8</v>
      </c>
      <c r="FY15" s="42">
        <v>8</v>
      </c>
      <c r="FZ15" s="42">
        <v>8</v>
      </c>
      <c r="GA15" s="42">
        <v>8</v>
      </c>
      <c r="GB15" s="42">
        <v>8</v>
      </c>
      <c r="GC15" s="42">
        <v>8</v>
      </c>
      <c r="GD15" s="42">
        <v>8</v>
      </c>
      <c r="GE15" s="42">
        <v>8</v>
      </c>
      <c r="GF15" s="42">
        <v>8</v>
      </c>
      <c r="GG15" s="42">
        <v>8</v>
      </c>
      <c r="GH15" s="42">
        <v>8</v>
      </c>
      <c r="GI15" s="42">
        <v>8</v>
      </c>
      <c r="GJ15" s="42">
        <v>8</v>
      </c>
      <c r="GK15" s="42">
        <v>8</v>
      </c>
      <c r="GL15" s="42">
        <v>8</v>
      </c>
      <c r="GM15" s="42">
        <v>8</v>
      </c>
      <c r="GN15" s="42">
        <v>8</v>
      </c>
      <c r="GO15" s="42">
        <v>8</v>
      </c>
      <c r="GP15" s="42">
        <v>8</v>
      </c>
      <c r="GQ15" s="42">
        <v>8</v>
      </c>
      <c r="GR15" s="42">
        <v>8</v>
      </c>
      <c r="GS15" s="42">
        <v>8</v>
      </c>
      <c r="GT15" s="42">
        <v>8</v>
      </c>
      <c r="GU15" s="42">
        <v>8</v>
      </c>
      <c r="GV15" s="42">
        <v>8</v>
      </c>
      <c r="GW15" s="42">
        <v>8</v>
      </c>
      <c r="GX15" s="42">
        <v>8</v>
      </c>
      <c r="GY15" s="42">
        <v>8</v>
      </c>
      <c r="GZ15" s="42">
        <v>8</v>
      </c>
      <c r="HA15" s="42">
        <v>8</v>
      </c>
      <c r="HB15" s="42">
        <v>8</v>
      </c>
      <c r="HC15" s="42">
        <v>8</v>
      </c>
      <c r="HD15" s="42">
        <v>8</v>
      </c>
      <c r="HE15" s="42">
        <v>8</v>
      </c>
      <c r="HF15" s="42">
        <v>8</v>
      </c>
      <c r="HG15" s="42">
        <v>8</v>
      </c>
      <c r="HH15" s="42">
        <v>8</v>
      </c>
      <c r="HI15" s="42">
        <v>8</v>
      </c>
      <c r="HJ15" s="42">
        <v>8</v>
      </c>
      <c r="HK15" s="42">
        <v>8</v>
      </c>
      <c r="HL15" s="42">
        <v>8</v>
      </c>
      <c r="HM15" s="42">
        <v>8</v>
      </c>
      <c r="HN15" s="42">
        <v>8</v>
      </c>
      <c r="HO15" s="42">
        <v>8</v>
      </c>
      <c r="HP15" s="42">
        <v>8</v>
      </c>
      <c r="HQ15" s="42">
        <v>8</v>
      </c>
      <c r="HR15" s="42">
        <v>8</v>
      </c>
      <c r="HS15" s="42">
        <v>8</v>
      </c>
      <c r="HT15" s="42">
        <v>8</v>
      </c>
      <c r="HU15" s="42">
        <v>8</v>
      </c>
      <c r="HV15" s="42">
        <v>8</v>
      </c>
      <c r="HW15" s="42">
        <v>8</v>
      </c>
      <c r="HX15" s="42">
        <v>8</v>
      </c>
      <c r="HY15" s="42">
        <v>8</v>
      </c>
      <c r="HZ15" s="42">
        <v>8</v>
      </c>
      <c r="IA15" s="42">
        <v>8</v>
      </c>
      <c r="IB15" s="42">
        <v>8</v>
      </c>
      <c r="IC15" s="42">
        <v>8</v>
      </c>
      <c r="ID15" s="42">
        <v>8</v>
      </c>
      <c r="IE15" s="42">
        <v>8</v>
      </c>
      <c r="IF15" s="42">
        <v>8</v>
      </c>
      <c r="IG15" s="42">
        <v>8</v>
      </c>
      <c r="IH15" s="42">
        <v>8</v>
      </c>
      <c r="II15" s="42">
        <v>8</v>
      </c>
      <c r="IJ15" s="42">
        <v>8</v>
      </c>
      <c r="IK15" s="42">
        <v>8</v>
      </c>
      <c r="IL15" s="42">
        <v>8</v>
      </c>
      <c r="IM15" s="42">
        <v>8</v>
      </c>
      <c r="IN15" s="42">
        <v>8</v>
      </c>
      <c r="IO15" s="42">
        <v>8</v>
      </c>
      <c r="IP15" s="42">
        <v>8</v>
      </c>
      <c r="IQ15" s="42">
        <v>8</v>
      </c>
      <c r="IR15" s="42">
        <v>8</v>
      </c>
      <c r="IS15" s="42">
        <v>8</v>
      </c>
      <c r="IT15" s="42">
        <v>8</v>
      </c>
      <c r="IU15" s="42">
        <v>8</v>
      </c>
      <c r="IV15" s="42">
        <v>8</v>
      </c>
      <c r="IW15" s="42">
        <v>23</v>
      </c>
    </row>
  </sheetData>
  <sheetProtection formatColumns="0" formatRows="0" insertRows="0" deleteColumns="0" deleteRows="0" sort="0" autoFilter="0"/>
  <mergeCells count="10">
    <mergeCell ref="E5:K5"/>
    <mergeCell ref="E7:K7"/>
    <mergeCell ref="G8:I8"/>
    <mergeCell ref="A10:A11"/>
    <mergeCell ref="E8:E9"/>
    <mergeCell ref="F8:F9"/>
    <mergeCell ref="J8:J9"/>
    <mergeCell ref="K8:K9"/>
    <mergeCell ref="L7:L9"/>
    <mergeCell ref="L10:L11"/>
  </mergeCells>
  <dataValidations count="5">
    <dataValidation type="time" operator="between" allowBlank="1" showInputMessage="1" showErrorMessage="1" prompt="Укажите время в формате ЧЧ:ММ" sqref="H2 H10">
      <formula1>0</formula1>
      <formula2>0.999305555555555</formula2>
    </dataValidation>
    <dataValidation type="textLength" operator="lessThanOrEqual" allowBlank="1" showInputMessage="1" showErrorMessage="1" sqref="I2 I10">
      <formula1>990</formula1>
    </dataValidation>
    <dataValidation type="textLength" operator="between"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0 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s>
  <pageMargins left="0.7" right="0.7" top="0.75" bottom="0.75" header="0.3" footer="0.3"/>
  <pageSetup paperSize="1"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15"/>
  <sheetViews>
    <sheetView showGridLines="0" zoomScale="90" zoomScaleNormal="90" workbookViewId="0">
      <pane xSplit="6" ySplit="9" topLeftCell="G10"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2" hidden="1"/>
    <col min="2" max="2" width="9.14285714285714" style="37" hidden="1"/>
    <col min="3" max="3" width="3.71428571428571" style="42" hidden="1" customWidth="1"/>
    <col min="4" max="4" width="3" style="216" customWidth="1"/>
    <col min="5" max="5" width="6" style="42" customWidth="1"/>
    <col min="6" max="6" width="27" style="42" customWidth="1"/>
    <col min="7" max="7" width="16" style="42" customWidth="1"/>
    <col min="8" max="8" width="12" style="42" customWidth="1"/>
    <col min="9" max="9" width="32" style="42" customWidth="1"/>
    <col min="10" max="11" width="41" style="42" customWidth="1"/>
    <col min="12" max="12" width="89" style="42" customWidth="1"/>
    <col min="13" max="13" width="3" style="150" customWidth="1"/>
    <col min="14" max="16" width="8" style="150" customWidth="1"/>
    <col min="17" max="17" width="25" style="150" customWidth="1"/>
    <col min="18" max="18" width="14" style="150" customWidth="1"/>
    <col min="19" max="22" width="8" style="266" customWidth="1"/>
    <col min="23" max="256" width="8" style="42" customWidth="1"/>
    <col min="257" max="257" width="9.14285714285714" style="42" hidden="1"/>
  </cols>
  <sheetData>
    <row r="1" ht="22.5" hidden="1" customHeight="1" spans="257:257">
      <c r="IW1" s="42" t="s">
        <v>14</v>
      </c>
    </row>
    <row r="2" customFormat="1" ht="22.5" hidden="1" customHeight="1" spans="1:257">
      <c r="A2" s="586"/>
      <c r="B2" s="37">
        <v>1</v>
      </c>
      <c r="C2" s="37"/>
      <c r="D2" s="583" t="s">
        <v>521</v>
      </c>
      <c r="E2" s="63"/>
      <c r="F2" s="59" t="str">
        <f>IF(ROIV_INFO_NAME="","",ROIV_INFO_NAME)</f>
        <v>АО "ОЭЗ ППТ "Алабуга"</v>
      </c>
      <c r="G2" s="254" t="s">
        <v>28</v>
      </c>
      <c r="H2" s="617"/>
      <c r="I2" s="624"/>
      <c r="J2" s="625"/>
      <c r="K2" s="625"/>
      <c r="L2" s="626"/>
      <c r="M2" s="602" t="e">
        <f>MERGEVALUE(F2)</f>
        <v>#NAME?</v>
      </c>
      <c r="N2" s="43"/>
      <c r="O2" s="43"/>
      <c r="P2" s="150" t="str">
        <f t="array" ref="P2">IF(ISERROR(MATCH(MID(Q2,1,250),MID(note_ter,1,250),0)),"n","y")</f>
        <v>n</v>
      </c>
      <c r="Q2" s="43"/>
      <c r="R2" s="150" t="str">
        <f>G2&amp;"("&amp;L2&amp;")"</f>
        <v>()</v>
      </c>
      <c r="S2" s="37"/>
      <c r="T2" s="37"/>
      <c r="U2" s="287"/>
      <c r="V2" s="37"/>
      <c r="W2" s="37"/>
      <c r="X2" s="37"/>
      <c r="Y2" s="263"/>
      <c r="Z2" s="263"/>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263"/>
      <c r="BW2" s="263"/>
      <c r="BX2" s="263"/>
      <c r="BY2" s="263"/>
      <c r="BZ2" s="263"/>
      <c r="CA2" s="263"/>
      <c r="CB2" s="263"/>
      <c r="CC2" s="263"/>
      <c r="CD2" s="263"/>
      <c r="CE2" s="263"/>
      <c r="IW2">
        <v>0</v>
      </c>
    </row>
    <row r="3" s="43" customFormat="1" ht="5.25" hidden="1" customHeight="1" spans="1:257">
      <c r="A3" s="36"/>
      <c r="D3" s="92"/>
      <c r="F3" s="587" t="s">
        <v>84</v>
      </c>
      <c r="G3" s="618" t="s">
        <v>85</v>
      </c>
      <c r="H3" s="92"/>
      <c r="I3" s="92"/>
      <c r="J3" s="92"/>
      <c r="K3" s="92"/>
      <c r="L3" s="627" t="s">
        <v>86</v>
      </c>
      <c r="M3" s="587" t="s">
        <v>84</v>
      </c>
      <c r="N3" s="587"/>
      <c r="O3" s="587"/>
      <c r="P3" s="587"/>
      <c r="Q3" s="587"/>
      <c r="R3" s="587"/>
      <c r="S3" s="587"/>
      <c r="T3" s="587"/>
      <c r="U3" s="587"/>
      <c r="V3" s="58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627"/>
      <c r="CM3" s="627"/>
      <c r="CN3" s="627"/>
      <c r="CO3" s="627"/>
      <c r="CP3" s="627"/>
      <c r="CQ3" s="627"/>
      <c r="CR3" s="627"/>
      <c r="CS3" s="627"/>
      <c r="CT3" s="627"/>
      <c r="CU3" s="627"/>
      <c r="CV3" s="627"/>
      <c r="CW3" s="627"/>
      <c r="CX3" s="627"/>
      <c r="CY3" s="627"/>
      <c r="CZ3" s="627"/>
      <c r="DA3" s="627"/>
      <c r="DB3" s="627"/>
      <c r="DC3" s="627"/>
      <c r="DD3" s="627"/>
      <c r="DE3" s="627"/>
      <c r="DF3" s="627"/>
      <c r="DG3" s="627"/>
      <c r="DH3" s="627"/>
      <c r="DI3" s="627"/>
      <c r="DJ3" s="627"/>
      <c r="DK3" s="627"/>
      <c r="DL3" s="627"/>
      <c r="DM3" s="627"/>
      <c r="DN3" s="627"/>
      <c r="DO3" s="627"/>
      <c r="DP3" s="627"/>
      <c r="DQ3" s="627"/>
      <c r="DR3" s="627"/>
      <c r="DS3" s="627"/>
      <c r="DT3" s="627"/>
      <c r="DU3" s="627"/>
      <c r="DV3" s="627"/>
      <c r="DW3" s="627"/>
      <c r="DX3" s="627"/>
      <c r="DY3" s="627"/>
      <c r="DZ3" s="627"/>
      <c r="EA3" s="627"/>
      <c r="EB3" s="627"/>
      <c r="EC3" s="627"/>
      <c r="ED3" s="627"/>
      <c r="EE3" s="627"/>
      <c r="EF3" s="627"/>
      <c r="EG3" s="627"/>
      <c r="EH3" s="627"/>
      <c r="EI3" s="627"/>
      <c r="EJ3" s="627"/>
      <c r="EK3" s="627"/>
      <c r="EL3" s="627"/>
      <c r="EM3" s="627"/>
      <c r="EN3" s="627"/>
      <c r="EO3" s="627"/>
      <c r="EP3" s="627"/>
      <c r="EQ3" s="627"/>
      <c r="ER3" s="627"/>
      <c r="ES3" s="627"/>
      <c r="ET3" s="627"/>
      <c r="EU3" s="627"/>
      <c r="EV3" s="627"/>
      <c r="EW3" s="627"/>
      <c r="EX3" s="627"/>
      <c r="EY3" s="627"/>
      <c r="EZ3" s="627"/>
      <c r="FA3" s="627"/>
      <c r="FB3" s="627"/>
      <c r="FC3" s="627"/>
      <c r="FD3" s="627"/>
      <c r="FE3" s="627"/>
      <c r="FF3" s="627"/>
      <c r="FG3" s="627"/>
      <c r="FH3" s="627"/>
      <c r="FI3" s="627"/>
      <c r="FJ3" s="627"/>
      <c r="FK3" s="627"/>
      <c r="FL3" s="627"/>
      <c r="FM3" s="627"/>
      <c r="FN3" s="627"/>
      <c r="FO3" s="627"/>
      <c r="FP3" s="627"/>
      <c r="FQ3" s="627"/>
      <c r="FR3" s="627"/>
      <c r="FS3" s="627"/>
      <c r="FT3" s="627"/>
      <c r="FU3" s="627"/>
      <c r="FV3" s="627"/>
      <c r="FW3" s="627"/>
      <c r="FX3" s="627"/>
      <c r="FY3" s="627"/>
      <c r="FZ3" s="627"/>
      <c r="GA3" s="627"/>
      <c r="GB3" s="627"/>
      <c r="GC3" s="627"/>
      <c r="GD3" s="627"/>
      <c r="GE3" s="627"/>
      <c r="GF3" s="627"/>
      <c r="GG3" s="627"/>
      <c r="GH3" s="627"/>
      <c r="GI3" s="627"/>
      <c r="GJ3" s="627"/>
      <c r="GK3" s="627"/>
      <c r="GL3" s="627"/>
      <c r="GM3" s="627"/>
      <c r="GN3" s="627"/>
      <c r="GO3" s="627"/>
      <c r="GP3" s="627"/>
      <c r="GQ3" s="627"/>
      <c r="GR3" s="627"/>
      <c r="GS3" s="627"/>
      <c r="GT3" s="627"/>
      <c r="GU3" s="627"/>
      <c r="GV3" s="627"/>
      <c r="GW3" s="627"/>
      <c r="GX3" s="627"/>
      <c r="GY3" s="627"/>
      <c r="GZ3" s="627"/>
      <c r="HA3" s="627"/>
      <c r="HB3" s="627"/>
      <c r="HC3" s="627"/>
      <c r="HD3" s="627"/>
      <c r="HE3" s="627"/>
      <c r="HF3" s="627"/>
      <c r="HG3" s="627"/>
      <c r="HH3" s="627"/>
      <c r="HI3" s="627"/>
      <c r="HJ3" s="627"/>
      <c r="HK3" s="627"/>
      <c r="HL3" s="627"/>
      <c r="HM3" s="627"/>
      <c r="HN3" s="627"/>
      <c r="HO3" s="627"/>
      <c r="HP3" s="627"/>
      <c r="HQ3" s="627"/>
      <c r="HR3" s="627"/>
      <c r="HS3" s="627"/>
      <c r="HT3" s="627"/>
      <c r="HU3" s="627"/>
      <c r="HV3" s="627"/>
      <c r="HW3" s="627"/>
      <c r="HX3" s="627"/>
      <c r="HY3" s="627"/>
      <c r="HZ3" s="627"/>
      <c r="IA3" s="627"/>
      <c r="IB3" s="627"/>
      <c r="IC3" s="627"/>
      <c r="ID3" s="627"/>
      <c r="IE3" s="627"/>
      <c r="IF3" s="627"/>
      <c r="IG3" s="627"/>
      <c r="IH3" s="627"/>
      <c r="II3" s="627"/>
      <c r="IJ3" s="627"/>
      <c r="IK3" s="627"/>
      <c r="IL3" s="627"/>
      <c r="IM3" s="627"/>
      <c r="IN3" s="627"/>
      <c r="IO3" s="627"/>
      <c r="IP3" s="627"/>
      <c r="IQ3" s="627"/>
      <c r="IR3" s="627"/>
      <c r="IS3" s="627"/>
      <c r="IT3" s="627"/>
      <c r="IU3" s="627"/>
      <c r="IV3" s="627"/>
      <c r="IW3" s="43">
        <v>0</v>
      </c>
    </row>
    <row r="4" s="205" customFormat="1" ht="14.7" customHeight="1" spans="1:257">
      <c r="A4" s="42"/>
      <c r="B4" s="37"/>
      <c r="C4" s="42"/>
      <c r="D4" s="216"/>
      <c r="E4" s="42"/>
      <c r="F4" s="42"/>
      <c r="G4" s="42"/>
      <c r="H4" s="42"/>
      <c r="I4" s="42"/>
      <c r="J4" s="42"/>
      <c r="K4" s="42"/>
      <c r="L4" s="60"/>
      <c r="M4" s="587"/>
      <c r="N4" s="150"/>
      <c r="O4" s="150"/>
      <c r="P4" s="150"/>
      <c r="Q4" s="150"/>
      <c r="R4" s="150"/>
      <c r="S4" s="266"/>
      <c r="T4" s="266"/>
      <c r="U4" s="266"/>
      <c r="V4" s="266"/>
      <c r="IW4" s="205">
        <v>14</v>
      </c>
    </row>
    <row r="5" s="205" customFormat="1" ht="27.3" customHeight="1" spans="1:257">
      <c r="A5" s="42"/>
      <c r="B5" s="37"/>
      <c r="C5" s="42"/>
      <c r="D5" s="216"/>
      <c r="E5" s="56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562"/>
      <c r="G5" s="562"/>
      <c r="H5" s="562"/>
      <c r="I5" s="562"/>
      <c r="J5" s="562"/>
      <c r="K5" s="562"/>
      <c r="L5" s="42"/>
      <c r="M5" s="587"/>
      <c r="N5" s="150"/>
      <c r="O5" s="150"/>
      <c r="P5" s="150"/>
      <c r="Q5" s="150"/>
      <c r="R5" s="150"/>
      <c r="S5" s="266"/>
      <c r="T5" s="266"/>
      <c r="U5" s="266"/>
      <c r="V5" s="266"/>
      <c r="IW5" s="205">
        <v>26</v>
      </c>
    </row>
    <row r="6" s="205" customFormat="1" ht="14.7" customHeight="1" spans="1:257">
      <c r="A6" s="42"/>
      <c r="B6" s="37"/>
      <c r="C6" s="42"/>
      <c r="D6" s="216"/>
      <c r="E6" s="42"/>
      <c r="F6" s="591"/>
      <c r="G6" s="591"/>
      <c r="H6" s="591"/>
      <c r="I6" s="591"/>
      <c r="J6" s="591"/>
      <c r="K6" s="591"/>
      <c r="L6" s="586"/>
      <c r="M6" s="150"/>
      <c r="N6" s="150"/>
      <c r="O6" s="150"/>
      <c r="P6" s="150"/>
      <c r="Q6" s="150"/>
      <c r="R6" s="150"/>
      <c r="S6" s="266"/>
      <c r="T6" s="266"/>
      <c r="U6" s="266"/>
      <c r="V6" s="266"/>
      <c r="IW6" s="205">
        <v>14</v>
      </c>
    </row>
    <row r="7" s="205" customFormat="1" ht="14.7" customHeight="1" spans="1:257">
      <c r="A7" s="42"/>
      <c r="B7" s="37"/>
      <c r="C7" s="42"/>
      <c r="D7" s="216"/>
      <c r="E7" s="125" t="s">
        <v>305</v>
      </c>
      <c r="F7" s="127"/>
      <c r="G7" s="127"/>
      <c r="H7" s="127"/>
      <c r="I7" s="127"/>
      <c r="J7" s="127"/>
      <c r="K7" s="127"/>
      <c r="L7" s="628" t="s">
        <v>306</v>
      </c>
      <c r="M7" s="150"/>
      <c r="N7" s="150"/>
      <c r="O7" s="150"/>
      <c r="P7" s="150"/>
      <c r="Q7" s="150"/>
      <c r="R7" s="150"/>
      <c r="S7" s="266"/>
      <c r="T7" s="266"/>
      <c r="U7" s="266"/>
      <c r="V7" s="266"/>
      <c r="IW7" s="205">
        <v>14</v>
      </c>
    </row>
    <row r="8" s="205" customFormat="1" ht="67.2" customHeight="1" spans="1:257">
      <c r="A8" s="42"/>
      <c r="B8" s="37"/>
      <c r="C8" s="42"/>
      <c r="D8" s="216"/>
      <c r="E8" s="594" t="s">
        <v>89</v>
      </c>
      <c r="F8" s="594" t="s">
        <v>1895</v>
      </c>
      <c r="G8" s="609" t="s">
        <v>1896</v>
      </c>
      <c r="H8" s="619"/>
      <c r="I8" s="629"/>
      <c r="J8" s="594" t="s">
        <v>1897</v>
      </c>
      <c r="K8" s="59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630"/>
      <c r="M8" s="150"/>
      <c r="N8" s="150"/>
      <c r="O8" s="150"/>
      <c r="P8" s="150"/>
      <c r="Q8" s="150"/>
      <c r="R8" s="150"/>
      <c r="S8" s="266"/>
      <c r="T8" s="266"/>
      <c r="U8" s="266"/>
      <c r="V8" s="266"/>
      <c r="IW8" s="205">
        <v>64</v>
      </c>
    </row>
    <row r="9" s="205" customFormat="1" ht="29.25" customHeight="1" spans="1:257">
      <c r="A9" s="42"/>
      <c r="B9" s="37"/>
      <c r="C9" s="42"/>
      <c r="D9" s="216"/>
      <c r="E9" s="611"/>
      <c r="F9" s="611"/>
      <c r="G9" s="611" t="s">
        <v>1891</v>
      </c>
      <c r="H9" s="611" t="s">
        <v>1892</v>
      </c>
      <c r="I9" s="611" t="s">
        <v>1893</v>
      </c>
      <c r="J9" s="611"/>
      <c r="K9" s="611"/>
      <c r="L9" s="631"/>
      <c r="M9" s="150"/>
      <c r="N9" s="150"/>
      <c r="O9" s="150"/>
      <c r="P9" s="150"/>
      <c r="Q9" s="150"/>
      <c r="R9" s="150"/>
      <c r="S9" s="266"/>
      <c r="T9" s="266"/>
      <c r="U9" s="266"/>
      <c r="V9" s="266"/>
      <c r="IW9" s="205">
        <v>28</v>
      </c>
    </row>
    <row r="10" customFormat="1" ht="1.05" customHeight="1" spans="1:257">
      <c r="A10" s="85"/>
      <c r="B10" s="37">
        <v>1</v>
      </c>
      <c r="C10" s="37"/>
      <c r="D10" s="220"/>
      <c r="E10" s="620">
        <v>0</v>
      </c>
      <c r="F10" s="621" t="str">
        <f>IF(ROIV_INFO_NAME="","",ROIV_INFO_NAME)</f>
        <v>АО "ОЭЗ ППТ "Алабуга"</v>
      </c>
      <c r="G10" s="622" t="s">
        <v>28</v>
      </c>
      <c r="H10" s="623"/>
      <c r="I10" s="623"/>
      <c r="J10" s="632"/>
      <c r="K10" s="632"/>
      <c r="L10" s="6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602" t="e">
        <f>MERGEVALUE(F10)</f>
        <v>#NAME?</v>
      </c>
      <c r="N10" s="43"/>
      <c r="O10" s="43"/>
      <c r="P10" s="150" t="str">
        <f t="array" ref="P10">IF(ISERROR(MATCH(MID(Q10,1,250),MID(note_ter,1,250),0)),"n","y")</f>
        <v>n</v>
      </c>
      <c r="Q10" s="43"/>
      <c r="R10" s="1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37"/>
      <c r="T10" s="37"/>
      <c r="U10" s="287"/>
      <c r="V10" s="37"/>
      <c r="W10" s="37"/>
      <c r="X10" s="37"/>
      <c r="Y10" s="263"/>
      <c r="Z10" s="263"/>
      <c r="AA10" s="151"/>
      <c r="AB10" s="151"/>
      <c r="AC10" s="151"/>
      <c r="AD10" s="151"/>
      <c r="AE10" s="151"/>
      <c r="AF10" s="151"/>
      <c r="AG10" s="151"/>
      <c r="AH10" s="151"/>
      <c r="AI10" s="151"/>
      <c r="AJ10" s="151"/>
      <c r="AK10" s="151"/>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151"/>
      <c r="BL10" s="151"/>
      <c r="BM10" s="151"/>
      <c r="BN10" s="151"/>
      <c r="BO10" s="151"/>
      <c r="BP10" s="151"/>
      <c r="BQ10" s="151"/>
      <c r="BR10" s="151"/>
      <c r="BS10" s="151"/>
      <c r="BT10" s="151"/>
      <c r="BU10" s="151"/>
      <c r="BV10" s="263"/>
      <c r="BW10" s="263"/>
      <c r="BX10" s="263"/>
      <c r="BY10" s="263"/>
      <c r="BZ10" s="263"/>
      <c r="CA10" s="263"/>
      <c r="CB10" s="263"/>
      <c r="CC10" s="263"/>
      <c r="CD10" s="263"/>
      <c r="CE10" s="263"/>
      <c r="IW10">
        <v>1</v>
      </c>
    </row>
    <row r="11" customFormat="1" ht="15.75" customHeight="1" spans="1:257">
      <c r="A11" s="85"/>
      <c r="B11" s="37"/>
      <c r="C11" s="223"/>
      <c r="D11" s="215"/>
      <c r="E11" s="224"/>
      <c r="F11" s="331" t="s">
        <v>1894</v>
      </c>
      <c r="G11" s="227"/>
      <c r="H11" s="227"/>
      <c r="I11" s="227"/>
      <c r="J11" s="227"/>
      <c r="K11" s="268"/>
      <c r="L11" s="634"/>
      <c r="M11" s="616"/>
      <c r="N11" s="43"/>
      <c r="O11" s="43"/>
      <c r="P11" s="43"/>
      <c r="Q11" s="150"/>
      <c r="R11" s="43"/>
      <c r="S11" s="37"/>
      <c r="T11" s="37"/>
      <c r="U11" s="287"/>
      <c r="V11" s="37"/>
      <c r="W11" s="37"/>
      <c r="X11" s="37"/>
      <c r="Y11" s="263"/>
      <c r="Z11" s="263"/>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263"/>
      <c r="BW11" s="263"/>
      <c r="BX11" s="263"/>
      <c r="BY11" s="263"/>
      <c r="BZ11" s="263"/>
      <c r="CA11" s="263"/>
      <c r="CB11" s="263"/>
      <c r="CC11" s="263"/>
      <c r="CD11" s="263"/>
      <c r="CE11" s="263"/>
      <c r="IW11">
        <v>15</v>
      </c>
    </row>
    <row r="12" s="205" customFormat="1" ht="22.05" customHeight="1" spans="1:257">
      <c r="A12" s="42"/>
      <c r="B12" s="37"/>
      <c r="C12" s="42"/>
      <c r="D12" s="216"/>
      <c r="E12" s="600"/>
      <c r="F12" s="600"/>
      <c r="G12" s="600"/>
      <c r="H12" s="600"/>
      <c r="I12" s="600"/>
      <c r="J12" s="600"/>
      <c r="K12" s="600"/>
      <c r="L12" s="600"/>
      <c r="M12" s="150"/>
      <c r="N12" s="150"/>
      <c r="O12" s="150"/>
      <c r="P12" s="150"/>
      <c r="Q12" s="150"/>
      <c r="R12" s="150"/>
      <c r="S12" s="266"/>
      <c r="T12" s="266"/>
      <c r="U12" s="266"/>
      <c r="V12" s="266"/>
      <c r="IW12" s="205">
        <v>21</v>
      </c>
    </row>
    <row r="13" s="205" customFormat="1" ht="14.7" customHeight="1" spans="1:257">
      <c r="A13" s="42"/>
      <c r="B13" s="37"/>
      <c r="C13" s="42"/>
      <c r="D13" s="216"/>
      <c r="E13" s="42"/>
      <c r="F13" s="42"/>
      <c r="G13" s="42"/>
      <c r="H13" s="42"/>
      <c r="I13" s="42"/>
      <c r="J13" s="42"/>
      <c r="K13" s="42"/>
      <c r="L13" s="42"/>
      <c r="M13" s="150"/>
      <c r="N13" s="150"/>
      <c r="O13" s="150"/>
      <c r="P13" s="150"/>
      <c r="Q13" s="150"/>
      <c r="R13" s="150"/>
      <c r="S13" s="266"/>
      <c r="T13" s="266"/>
      <c r="U13" s="266"/>
      <c r="V13" s="266"/>
      <c r="IW13" s="205">
        <v>14</v>
      </c>
    </row>
    <row r="14" s="205" customFormat="1" ht="1.05" customHeight="1" spans="1:257">
      <c r="A14" s="42"/>
      <c r="B14" s="37"/>
      <c r="C14" s="42"/>
      <c r="D14" s="216"/>
      <c r="E14" s="42"/>
      <c r="F14" s="42"/>
      <c r="G14" s="42"/>
      <c r="H14" s="42"/>
      <c r="I14" s="42"/>
      <c r="J14" s="42"/>
      <c r="K14" s="42"/>
      <c r="L14" s="42"/>
      <c r="M14" s="150"/>
      <c r="N14" s="150"/>
      <c r="O14" s="150"/>
      <c r="P14" s="150"/>
      <c r="Q14" s="150"/>
      <c r="R14" s="150"/>
      <c r="S14" s="266"/>
      <c r="T14" s="266"/>
      <c r="U14" s="266"/>
      <c r="V14" s="266"/>
      <c r="IW14" s="205">
        <v>1</v>
      </c>
    </row>
    <row r="15" ht="22.5" hidden="1" customHeight="1" spans="1:257">
      <c r="A15" s="42" t="s">
        <v>83</v>
      </c>
      <c r="B15" s="37">
        <v>0</v>
      </c>
      <c r="C15" s="42">
        <v>0</v>
      </c>
      <c r="D15" s="216">
        <v>3</v>
      </c>
      <c r="E15" s="42">
        <v>6</v>
      </c>
      <c r="F15" s="42">
        <v>27</v>
      </c>
      <c r="G15" s="42">
        <v>16</v>
      </c>
      <c r="H15" s="42">
        <v>12</v>
      </c>
      <c r="I15" s="42">
        <v>32</v>
      </c>
      <c r="J15" s="42">
        <v>41</v>
      </c>
      <c r="K15" s="42">
        <v>41</v>
      </c>
      <c r="L15" s="42">
        <v>89</v>
      </c>
      <c r="M15" s="150">
        <v>3</v>
      </c>
      <c r="N15" s="150">
        <v>8</v>
      </c>
      <c r="O15" s="150">
        <v>8</v>
      </c>
      <c r="P15" s="150">
        <v>8</v>
      </c>
      <c r="Q15" s="150">
        <v>25</v>
      </c>
      <c r="R15" s="150">
        <v>14</v>
      </c>
      <c r="S15" s="266">
        <v>8</v>
      </c>
      <c r="T15" s="266">
        <v>8</v>
      </c>
      <c r="U15" s="266">
        <v>8</v>
      </c>
      <c r="V15" s="266">
        <v>8</v>
      </c>
      <c r="W15" s="42">
        <v>8</v>
      </c>
      <c r="X15" s="42">
        <v>8</v>
      </c>
      <c r="Y15" s="42">
        <v>8</v>
      </c>
      <c r="Z15" s="42">
        <v>8</v>
      </c>
      <c r="AA15" s="42">
        <v>8</v>
      </c>
      <c r="AB15" s="42">
        <v>8</v>
      </c>
      <c r="AC15" s="42">
        <v>8</v>
      </c>
      <c r="AD15" s="42">
        <v>8</v>
      </c>
      <c r="AE15" s="42">
        <v>8</v>
      </c>
      <c r="AF15" s="42">
        <v>8</v>
      </c>
      <c r="AG15" s="42">
        <v>8</v>
      </c>
      <c r="AH15" s="42">
        <v>8</v>
      </c>
      <c r="AI15" s="42">
        <v>8</v>
      </c>
      <c r="AJ15" s="42">
        <v>8</v>
      </c>
      <c r="AK15" s="42">
        <v>8</v>
      </c>
      <c r="AL15" s="42">
        <v>8</v>
      </c>
      <c r="AM15" s="42">
        <v>8</v>
      </c>
      <c r="AN15" s="42">
        <v>8</v>
      </c>
      <c r="AO15" s="42">
        <v>8</v>
      </c>
      <c r="AP15" s="42">
        <v>8</v>
      </c>
      <c r="AQ15" s="42">
        <v>8</v>
      </c>
      <c r="AR15" s="42">
        <v>8</v>
      </c>
      <c r="AS15" s="42">
        <v>8</v>
      </c>
      <c r="AT15" s="42">
        <v>8</v>
      </c>
      <c r="AU15" s="42">
        <v>8</v>
      </c>
      <c r="AV15" s="42">
        <v>8</v>
      </c>
      <c r="AW15" s="42">
        <v>8</v>
      </c>
      <c r="AX15" s="42">
        <v>8</v>
      </c>
      <c r="AY15" s="42">
        <v>8</v>
      </c>
      <c r="AZ15" s="42">
        <v>8</v>
      </c>
      <c r="BA15" s="42">
        <v>8</v>
      </c>
      <c r="BB15" s="42">
        <v>8</v>
      </c>
      <c r="BC15" s="42">
        <v>8</v>
      </c>
      <c r="BD15" s="42">
        <v>8</v>
      </c>
      <c r="BE15" s="42">
        <v>8</v>
      </c>
      <c r="BF15" s="42">
        <v>8</v>
      </c>
      <c r="BG15" s="42">
        <v>8</v>
      </c>
      <c r="BH15" s="42">
        <v>8</v>
      </c>
      <c r="BI15" s="42">
        <v>8</v>
      </c>
      <c r="BJ15" s="42">
        <v>8</v>
      </c>
      <c r="BK15" s="42">
        <v>8</v>
      </c>
      <c r="BL15" s="42">
        <v>8</v>
      </c>
      <c r="BM15" s="42">
        <v>8</v>
      </c>
      <c r="BN15" s="42">
        <v>8</v>
      </c>
      <c r="BO15" s="42">
        <v>8</v>
      </c>
      <c r="BP15" s="42">
        <v>8</v>
      </c>
      <c r="BQ15" s="42">
        <v>8</v>
      </c>
      <c r="BR15" s="42">
        <v>8</v>
      </c>
      <c r="BS15" s="42">
        <v>8</v>
      </c>
      <c r="BT15" s="42">
        <v>8</v>
      </c>
      <c r="BU15" s="42">
        <v>8</v>
      </c>
      <c r="BV15" s="42">
        <v>8</v>
      </c>
      <c r="BW15" s="42">
        <v>8</v>
      </c>
      <c r="BX15" s="42">
        <v>8</v>
      </c>
      <c r="BY15" s="42">
        <v>8</v>
      </c>
      <c r="BZ15" s="42">
        <v>8</v>
      </c>
      <c r="CA15" s="42">
        <v>8</v>
      </c>
      <c r="CB15" s="42">
        <v>8</v>
      </c>
      <c r="CC15" s="42">
        <v>8</v>
      </c>
      <c r="CD15" s="42">
        <v>8</v>
      </c>
      <c r="CE15" s="42">
        <v>8</v>
      </c>
      <c r="CF15" s="42">
        <v>8</v>
      </c>
      <c r="CG15" s="42">
        <v>8</v>
      </c>
      <c r="CH15" s="42">
        <v>8</v>
      </c>
      <c r="CI15" s="42">
        <v>8</v>
      </c>
      <c r="CJ15" s="42">
        <v>8</v>
      </c>
      <c r="CK15" s="42">
        <v>8</v>
      </c>
      <c r="CL15" s="42">
        <v>8</v>
      </c>
      <c r="CM15" s="42">
        <v>8</v>
      </c>
      <c r="CN15" s="42">
        <v>8</v>
      </c>
      <c r="CO15" s="42">
        <v>8</v>
      </c>
      <c r="CP15" s="42">
        <v>8</v>
      </c>
      <c r="CQ15" s="42">
        <v>8</v>
      </c>
      <c r="CR15" s="42">
        <v>8</v>
      </c>
      <c r="CS15" s="42">
        <v>8</v>
      </c>
      <c r="CT15" s="42">
        <v>8</v>
      </c>
      <c r="CU15" s="42">
        <v>8</v>
      </c>
      <c r="CV15" s="42">
        <v>8</v>
      </c>
      <c r="CW15" s="42">
        <v>8</v>
      </c>
      <c r="CX15" s="42">
        <v>8</v>
      </c>
      <c r="CY15" s="42">
        <v>8</v>
      </c>
      <c r="CZ15" s="42">
        <v>8</v>
      </c>
      <c r="DA15" s="42">
        <v>8</v>
      </c>
      <c r="DB15" s="42">
        <v>8</v>
      </c>
      <c r="DC15" s="42">
        <v>8</v>
      </c>
      <c r="DD15" s="42">
        <v>8</v>
      </c>
      <c r="DE15" s="42">
        <v>8</v>
      </c>
      <c r="DF15" s="42">
        <v>8</v>
      </c>
      <c r="DG15" s="42">
        <v>8</v>
      </c>
      <c r="DH15" s="42">
        <v>8</v>
      </c>
      <c r="DI15" s="42">
        <v>8</v>
      </c>
      <c r="DJ15" s="42">
        <v>8</v>
      </c>
      <c r="DK15" s="42">
        <v>8</v>
      </c>
      <c r="DL15" s="42">
        <v>8</v>
      </c>
      <c r="DM15" s="42">
        <v>8</v>
      </c>
      <c r="DN15" s="42">
        <v>8</v>
      </c>
      <c r="DO15" s="42">
        <v>8</v>
      </c>
      <c r="DP15" s="42">
        <v>8</v>
      </c>
      <c r="DQ15" s="42">
        <v>8</v>
      </c>
      <c r="DR15" s="42">
        <v>8</v>
      </c>
      <c r="DS15" s="42">
        <v>8</v>
      </c>
      <c r="DT15" s="42">
        <v>8</v>
      </c>
      <c r="DU15" s="42">
        <v>8</v>
      </c>
      <c r="DV15" s="42">
        <v>8</v>
      </c>
      <c r="DW15" s="42">
        <v>8</v>
      </c>
      <c r="DX15" s="42">
        <v>8</v>
      </c>
      <c r="DY15" s="42">
        <v>8</v>
      </c>
      <c r="DZ15" s="42">
        <v>8</v>
      </c>
      <c r="EA15" s="42">
        <v>8</v>
      </c>
      <c r="EB15" s="42">
        <v>8</v>
      </c>
      <c r="EC15" s="42">
        <v>8</v>
      </c>
      <c r="ED15" s="42">
        <v>8</v>
      </c>
      <c r="EE15" s="42">
        <v>8</v>
      </c>
      <c r="EF15" s="42">
        <v>8</v>
      </c>
      <c r="EG15" s="42">
        <v>8</v>
      </c>
      <c r="EH15" s="42">
        <v>8</v>
      </c>
      <c r="EI15" s="42">
        <v>8</v>
      </c>
      <c r="EJ15" s="42">
        <v>8</v>
      </c>
      <c r="EK15" s="42">
        <v>8</v>
      </c>
      <c r="EL15" s="42">
        <v>8</v>
      </c>
      <c r="EM15" s="42">
        <v>8</v>
      </c>
      <c r="EN15" s="42">
        <v>8</v>
      </c>
      <c r="EO15" s="42">
        <v>8</v>
      </c>
      <c r="EP15" s="42">
        <v>8</v>
      </c>
      <c r="EQ15" s="42">
        <v>8</v>
      </c>
      <c r="ER15" s="42">
        <v>8</v>
      </c>
      <c r="ES15" s="42">
        <v>8</v>
      </c>
      <c r="ET15" s="42">
        <v>8</v>
      </c>
      <c r="EU15" s="42">
        <v>8</v>
      </c>
      <c r="EV15" s="42">
        <v>8</v>
      </c>
      <c r="EW15" s="42">
        <v>8</v>
      </c>
      <c r="EX15" s="42">
        <v>8</v>
      </c>
      <c r="EY15" s="42">
        <v>8</v>
      </c>
      <c r="EZ15" s="42">
        <v>8</v>
      </c>
      <c r="FA15" s="42">
        <v>8</v>
      </c>
      <c r="FB15" s="42">
        <v>8</v>
      </c>
      <c r="FC15" s="42">
        <v>8</v>
      </c>
      <c r="FD15" s="42">
        <v>8</v>
      </c>
      <c r="FE15" s="42">
        <v>8</v>
      </c>
      <c r="FF15" s="42">
        <v>8</v>
      </c>
      <c r="FG15" s="42">
        <v>8</v>
      </c>
      <c r="FH15" s="42">
        <v>8</v>
      </c>
      <c r="FI15" s="42">
        <v>8</v>
      </c>
      <c r="FJ15" s="42">
        <v>8</v>
      </c>
      <c r="FK15" s="42">
        <v>8</v>
      </c>
      <c r="FL15" s="42">
        <v>8</v>
      </c>
      <c r="FM15" s="42">
        <v>8</v>
      </c>
      <c r="FN15" s="42">
        <v>8</v>
      </c>
      <c r="FO15" s="42">
        <v>8</v>
      </c>
      <c r="FP15" s="42">
        <v>8</v>
      </c>
      <c r="FQ15" s="42">
        <v>8</v>
      </c>
      <c r="FR15" s="42">
        <v>8</v>
      </c>
      <c r="FS15" s="42">
        <v>8</v>
      </c>
      <c r="FT15" s="42">
        <v>8</v>
      </c>
      <c r="FU15" s="42">
        <v>8</v>
      </c>
      <c r="FV15" s="42">
        <v>8</v>
      </c>
      <c r="FW15" s="42">
        <v>8</v>
      </c>
      <c r="FX15" s="42">
        <v>8</v>
      </c>
      <c r="FY15" s="42">
        <v>8</v>
      </c>
      <c r="FZ15" s="42">
        <v>8</v>
      </c>
      <c r="GA15" s="42">
        <v>8</v>
      </c>
      <c r="GB15" s="42">
        <v>8</v>
      </c>
      <c r="GC15" s="42">
        <v>8</v>
      </c>
      <c r="GD15" s="42">
        <v>8</v>
      </c>
      <c r="GE15" s="42">
        <v>8</v>
      </c>
      <c r="GF15" s="42">
        <v>8</v>
      </c>
      <c r="GG15" s="42">
        <v>8</v>
      </c>
      <c r="GH15" s="42">
        <v>8</v>
      </c>
      <c r="GI15" s="42">
        <v>8</v>
      </c>
      <c r="GJ15" s="42">
        <v>8</v>
      </c>
      <c r="GK15" s="42">
        <v>8</v>
      </c>
      <c r="GL15" s="42">
        <v>8</v>
      </c>
      <c r="GM15" s="42">
        <v>8</v>
      </c>
      <c r="GN15" s="42">
        <v>8</v>
      </c>
      <c r="GO15" s="42">
        <v>8</v>
      </c>
      <c r="GP15" s="42">
        <v>8</v>
      </c>
      <c r="GQ15" s="42">
        <v>8</v>
      </c>
      <c r="GR15" s="42">
        <v>8</v>
      </c>
      <c r="GS15" s="42">
        <v>8</v>
      </c>
      <c r="GT15" s="42">
        <v>8</v>
      </c>
      <c r="GU15" s="42">
        <v>8</v>
      </c>
      <c r="GV15" s="42">
        <v>8</v>
      </c>
      <c r="GW15" s="42">
        <v>8</v>
      </c>
      <c r="GX15" s="42">
        <v>8</v>
      </c>
      <c r="GY15" s="42">
        <v>8</v>
      </c>
      <c r="GZ15" s="42">
        <v>8</v>
      </c>
      <c r="HA15" s="42">
        <v>8</v>
      </c>
      <c r="HB15" s="42">
        <v>8</v>
      </c>
      <c r="HC15" s="42">
        <v>8</v>
      </c>
      <c r="HD15" s="42">
        <v>8</v>
      </c>
      <c r="HE15" s="42">
        <v>8</v>
      </c>
      <c r="HF15" s="42">
        <v>8</v>
      </c>
      <c r="HG15" s="42">
        <v>8</v>
      </c>
      <c r="HH15" s="42">
        <v>8</v>
      </c>
      <c r="HI15" s="42">
        <v>8</v>
      </c>
      <c r="HJ15" s="42">
        <v>8</v>
      </c>
      <c r="HK15" s="42">
        <v>8</v>
      </c>
      <c r="HL15" s="42">
        <v>8</v>
      </c>
      <c r="HM15" s="42">
        <v>8</v>
      </c>
      <c r="HN15" s="42">
        <v>8</v>
      </c>
      <c r="HO15" s="42">
        <v>8</v>
      </c>
      <c r="HP15" s="42">
        <v>8</v>
      </c>
      <c r="HQ15" s="42">
        <v>8</v>
      </c>
      <c r="HR15" s="42">
        <v>8</v>
      </c>
      <c r="HS15" s="42">
        <v>8</v>
      </c>
      <c r="HT15" s="42">
        <v>8</v>
      </c>
      <c r="HU15" s="42">
        <v>8</v>
      </c>
      <c r="HV15" s="42">
        <v>8</v>
      </c>
      <c r="HW15" s="42">
        <v>8</v>
      </c>
      <c r="HX15" s="42">
        <v>8</v>
      </c>
      <c r="HY15" s="42">
        <v>8</v>
      </c>
      <c r="HZ15" s="42">
        <v>8</v>
      </c>
      <c r="IA15" s="42">
        <v>8</v>
      </c>
      <c r="IB15" s="42">
        <v>8</v>
      </c>
      <c r="IC15" s="42">
        <v>8</v>
      </c>
      <c r="ID15" s="42">
        <v>8</v>
      </c>
      <c r="IE15" s="42">
        <v>8</v>
      </c>
      <c r="IF15" s="42">
        <v>8</v>
      </c>
      <c r="IG15" s="42">
        <v>8</v>
      </c>
      <c r="IH15" s="42">
        <v>8</v>
      </c>
      <c r="II15" s="42">
        <v>8</v>
      </c>
      <c r="IJ15" s="42">
        <v>8</v>
      </c>
      <c r="IK15" s="42">
        <v>8</v>
      </c>
      <c r="IL15" s="42">
        <v>8</v>
      </c>
      <c r="IM15" s="42">
        <v>8</v>
      </c>
      <c r="IN15" s="42">
        <v>8</v>
      </c>
      <c r="IO15" s="42">
        <v>8</v>
      </c>
      <c r="IP15" s="42">
        <v>8</v>
      </c>
      <c r="IQ15" s="42">
        <v>8</v>
      </c>
      <c r="IR15" s="42">
        <v>8</v>
      </c>
      <c r="IS15" s="42">
        <v>8</v>
      </c>
      <c r="IT15" s="42">
        <v>8</v>
      </c>
      <c r="IU15" s="42">
        <v>8</v>
      </c>
      <c r="IV15" s="42">
        <v>8</v>
      </c>
      <c r="IW15" s="42">
        <v>23</v>
      </c>
    </row>
  </sheetData>
  <sheetProtection insertRows="0" deleteColumns="0" deleteRows="0" sort="0" autoFilter="0"/>
  <mergeCells count="10">
    <mergeCell ref="E5:K5"/>
    <mergeCell ref="E7:K7"/>
    <mergeCell ref="G8:I8"/>
    <mergeCell ref="A10:A11"/>
    <mergeCell ref="E8:E9"/>
    <mergeCell ref="F8:F9"/>
    <mergeCell ref="J8:J9"/>
    <mergeCell ref="K8:K9"/>
    <mergeCell ref="L7:L9"/>
    <mergeCell ref="L10:L11"/>
  </mergeCells>
  <dataValidations count="5">
    <dataValidation type="time" operator="between"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operator="between"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paperSize="1"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9"/>
  <sheetViews>
    <sheetView showGridLines="0" zoomScale="90" zoomScaleNormal="90" workbookViewId="0">
      <pane xSplit="10" ySplit="12" topLeftCell="K13"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42" hidden="1"/>
    <col min="2" max="2" width="9.14285714285714" style="37" hidden="1"/>
    <col min="3" max="3" width="3.71428571428571" style="42" hidden="1" customWidth="1"/>
    <col min="4" max="4" width="3" style="216" customWidth="1"/>
    <col min="5" max="5" width="6" style="42" customWidth="1"/>
    <col min="6" max="6" width="27" style="42" customWidth="1"/>
    <col min="7" max="7" width="29" style="42" customWidth="1"/>
    <col min="8" max="8" width="25" style="42" customWidth="1"/>
    <col min="9" max="9" width="5" style="42" customWidth="1"/>
    <col min="10" max="10" width="6" style="42" customWidth="1"/>
    <col min="11" max="11" width="41" style="42" customWidth="1"/>
    <col min="12" max="12" width="42" style="42" customWidth="1"/>
    <col min="13" max="13" width="41" style="42" customWidth="1"/>
    <col min="14" max="14" width="89" style="42" customWidth="1"/>
    <col min="15" max="15" width="3" style="150" customWidth="1"/>
    <col min="16" max="16" width="8" style="150" customWidth="1"/>
    <col min="17" max="17" width="9.14285714285714" style="42" hidden="1"/>
  </cols>
  <sheetData>
    <row r="1" ht="22.5" hidden="1" customHeight="1" spans="17:17">
      <c r="Q1" s="42" t="s">
        <v>14</v>
      </c>
    </row>
    <row r="2" customFormat="1" ht="22.5" hidden="1" customHeight="1" spans="1:17">
      <c r="A2" s="36"/>
      <c r="B2" s="37">
        <v>1</v>
      </c>
      <c r="C2" s="37"/>
      <c r="D2" s="583" t="s">
        <v>521</v>
      </c>
      <c r="E2" s="63">
        <v>1</v>
      </c>
      <c r="F2" s="584" t="str">
        <f>IF(region_name="","",region_name)</f>
        <v>Республика Татарстан</v>
      </c>
      <c r="G2" s="585"/>
      <c r="H2" s="243"/>
      <c r="I2" s="253"/>
      <c r="J2" s="125">
        <v>1</v>
      </c>
      <c r="K2" s="212"/>
      <c r="L2" s="212"/>
      <c r="M2" s="212"/>
      <c r="N2" s="601"/>
      <c r="O2" s="602"/>
      <c r="P2" s="43"/>
      <c r="Q2">
        <v>0</v>
      </c>
    </row>
    <row r="3" customFormat="1" ht="22.5" hidden="1" customHeight="1" spans="1:17">
      <c r="A3" s="586"/>
      <c r="B3" s="37"/>
      <c r="C3" s="37"/>
      <c r="D3" s="215"/>
      <c r="E3" s="63"/>
      <c r="F3" s="584"/>
      <c r="G3" s="585"/>
      <c r="H3" s="374"/>
      <c r="I3" s="224"/>
      <c r="J3" s="598"/>
      <c r="K3" s="598" t="s">
        <v>1898</v>
      </c>
      <c r="L3" s="603"/>
      <c r="M3" s="604"/>
      <c r="N3" s="588"/>
      <c r="O3" s="602"/>
      <c r="P3" s="43"/>
      <c r="Q3">
        <v>0</v>
      </c>
    </row>
    <row r="4" s="43" customFormat="1" ht="5.25" hidden="1" customHeight="1" spans="1:17">
      <c r="A4" s="36"/>
      <c r="D4" s="92"/>
      <c r="F4" s="587" t="s">
        <v>84</v>
      </c>
      <c r="G4" s="92" t="s">
        <v>85</v>
      </c>
      <c r="H4" s="92"/>
      <c r="I4" s="92"/>
      <c r="J4" s="605"/>
      <c r="K4" s="92"/>
      <c r="L4" s="92"/>
      <c r="M4" s="92"/>
      <c r="N4" s="92"/>
      <c r="O4" s="587" t="s">
        <v>84</v>
      </c>
      <c r="P4" s="587"/>
      <c r="Q4" s="43">
        <v>0</v>
      </c>
    </row>
    <row r="5" customFormat="1" ht="22.5" hidden="1" customHeight="1" spans="1:17">
      <c r="A5" s="36"/>
      <c r="B5" s="37">
        <v>1</v>
      </c>
      <c r="C5" s="37"/>
      <c r="D5" s="215"/>
      <c r="E5" s="588"/>
      <c r="F5" s="588"/>
      <c r="G5" s="588"/>
      <c r="H5" s="589"/>
      <c r="I5" s="606" t="s">
        <v>521</v>
      </c>
      <c r="J5" s="127">
        <v>1</v>
      </c>
      <c r="K5" s="212"/>
      <c r="L5" s="212"/>
      <c r="M5" s="212"/>
      <c r="N5" s="601"/>
      <c r="O5" s="602"/>
      <c r="P5" s="43"/>
      <c r="Q5">
        <v>0</v>
      </c>
    </row>
    <row r="6" s="205" customFormat="1" ht="14.7" customHeight="1" spans="1:17">
      <c r="A6" s="42"/>
      <c r="B6" s="37"/>
      <c r="C6" s="42"/>
      <c r="D6" s="216"/>
      <c r="E6" s="42"/>
      <c r="F6" s="42"/>
      <c r="G6" s="42"/>
      <c r="H6" s="42"/>
      <c r="I6" s="42"/>
      <c r="J6" s="42"/>
      <c r="K6" s="42"/>
      <c r="L6" s="42"/>
      <c r="M6" s="42"/>
      <c r="N6" s="42"/>
      <c r="O6" s="587"/>
      <c r="P6" s="150"/>
      <c r="Q6" s="205">
        <v>14</v>
      </c>
    </row>
    <row r="7" s="205" customFormat="1" ht="27.3" customHeight="1" spans="1:17">
      <c r="A7" s="42"/>
      <c r="B7" s="37"/>
      <c r="C7" s="42"/>
      <c r="D7" s="216"/>
      <c r="E7" s="59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590"/>
      <c r="G7" s="590"/>
      <c r="H7" s="590"/>
      <c r="I7" s="590"/>
      <c r="J7" s="590"/>
      <c r="K7" s="590"/>
      <c r="L7" s="590"/>
      <c r="M7" s="590"/>
      <c r="N7" s="586"/>
      <c r="O7" s="587"/>
      <c r="P7" s="150"/>
      <c r="Q7" s="205">
        <v>26</v>
      </c>
    </row>
    <row r="8" s="205" customFormat="1" ht="14.7" customHeight="1" spans="1:17">
      <c r="A8" s="42"/>
      <c r="B8" s="37"/>
      <c r="C8" s="42"/>
      <c r="D8" s="216"/>
      <c r="E8" s="42"/>
      <c r="F8" s="591"/>
      <c r="G8" s="591"/>
      <c r="H8" s="591"/>
      <c r="I8" s="591"/>
      <c r="J8" s="591"/>
      <c r="K8" s="591"/>
      <c r="L8" s="591"/>
      <c r="M8" s="591"/>
      <c r="N8" s="591"/>
      <c r="O8" s="150"/>
      <c r="P8" s="150"/>
      <c r="Q8" s="205">
        <v>14</v>
      </c>
    </row>
    <row r="9" s="582" customFormat="1" hidden="1" customHeight="1" spans="1:17">
      <c r="A9" s="85"/>
      <c r="B9" s="47"/>
      <c r="C9" s="85"/>
      <c r="D9" s="216"/>
      <c r="E9" s="592"/>
      <c r="F9" s="592"/>
      <c r="G9" s="592"/>
      <c r="H9" s="592"/>
      <c r="I9" s="592"/>
      <c r="J9" s="592"/>
      <c r="K9" s="592"/>
      <c r="L9" s="592"/>
      <c r="M9" s="607"/>
      <c r="O9" s="608"/>
      <c r="P9" s="608"/>
      <c r="Q9" s="582">
        <v>0</v>
      </c>
    </row>
    <row r="10" s="205" customFormat="1" ht="14.7" customHeight="1" spans="1:17">
      <c r="A10" s="42"/>
      <c r="B10" s="37"/>
      <c r="C10" s="42"/>
      <c r="D10" s="216"/>
      <c r="E10" s="63" t="s">
        <v>305</v>
      </c>
      <c r="F10" s="63"/>
      <c r="G10" s="63"/>
      <c r="H10" s="63"/>
      <c r="I10" s="63"/>
      <c r="J10" s="63"/>
      <c r="K10" s="63"/>
      <c r="L10" s="63"/>
      <c r="M10" s="125"/>
      <c r="N10" s="594" t="s">
        <v>306</v>
      </c>
      <c r="O10" s="150"/>
      <c r="P10" s="150"/>
      <c r="Q10" s="205">
        <v>14</v>
      </c>
    </row>
    <row r="11" s="205" customFormat="1" ht="44.25" customHeight="1" spans="1:17">
      <c r="A11" s="42"/>
      <c r="B11" s="37"/>
      <c r="C11" s="42"/>
      <c r="D11" s="216"/>
      <c r="E11" s="593" t="s">
        <v>89</v>
      </c>
      <c r="F11" s="593" t="s">
        <v>309</v>
      </c>
      <c r="G11" s="593" t="s">
        <v>1899</v>
      </c>
      <c r="H11" s="593"/>
      <c r="I11" s="593" t="s">
        <v>1900</v>
      </c>
      <c r="J11" s="593"/>
      <c r="K11" s="593"/>
      <c r="L11" s="593" t="s">
        <v>1901</v>
      </c>
      <c r="M11" s="609" t="s">
        <v>1902</v>
      </c>
      <c r="N11" s="610"/>
      <c r="O11" s="150"/>
      <c r="P11" s="150"/>
      <c r="Q11" s="205">
        <v>42</v>
      </c>
    </row>
    <row r="12" s="205" customFormat="1" ht="29.25" customHeight="1" spans="1:17">
      <c r="A12" s="42"/>
      <c r="B12" s="37"/>
      <c r="C12" s="42"/>
      <c r="D12" s="216"/>
      <c r="E12" s="594"/>
      <c r="F12" s="593"/>
      <c r="G12" s="593" t="s">
        <v>1903</v>
      </c>
      <c r="H12" s="593" t="s">
        <v>313</v>
      </c>
      <c r="I12" s="593"/>
      <c r="J12" s="593"/>
      <c r="K12" s="593"/>
      <c r="L12" s="593"/>
      <c r="M12" s="609"/>
      <c r="N12" s="611"/>
      <c r="O12" s="150"/>
      <c r="P12" s="150"/>
      <c r="Q12" s="205">
        <v>28</v>
      </c>
    </row>
    <row r="13" customFormat="1" ht="23.25" customHeight="1" spans="1:17">
      <c r="A13" s="85">
        <v>26379339</v>
      </c>
      <c r="B13" s="37">
        <v>1</v>
      </c>
      <c r="C13" s="37"/>
      <c r="D13" s="215"/>
      <c r="E13" s="63">
        <v>1</v>
      </c>
      <c r="F13" s="595" t="str">
        <f>IF(region_name="","",region_name)</f>
        <v>Республика Татарстан</v>
      </c>
      <c r="G13" s="596"/>
      <c r="H13" s="597"/>
      <c r="I13" s="253"/>
      <c r="J13" s="72">
        <v>1</v>
      </c>
      <c r="K13" s="612"/>
      <c r="L13" s="613"/>
      <c r="M13" s="613"/>
      <c r="N13" s="614" t="s">
        <v>1904</v>
      </c>
      <c r="O13" s="602"/>
      <c r="P13" s="43"/>
      <c r="Q13">
        <v>22</v>
      </c>
    </row>
    <row r="14" customFormat="1" ht="23.25" customHeight="1" spans="1:17">
      <c r="A14" s="85"/>
      <c r="B14" s="37"/>
      <c r="C14" s="37"/>
      <c r="D14" s="215"/>
      <c r="E14" s="63"/>
      <c r="F14" s="595"/>
      <c r="G14" s="596"/>
      <c r="H14" s="551"/>
      <c r="I14" s="224"/>
      <c r="J14" s="598"/>
      <c r="K14" s="598" t="s">
        <v>1898</v>
      </c>
      <c r="L14" s="603"/>
      <c r="M14" s="603"/>
      <c r="N14" s="615"/>
      <c r="O14" s="602"/>
      <c r="P14" s="43"/>
      <c r="Q14">
        <v>22</v>
      </c>
    </row>
    <row r="15" customFormat="1" ht="23.25" customHeight="1" spans="1:17">
      <c r="A15" s="85"/>
      <c r="B15" s="37"/>
      <c r="C15" s="223"/>
      <c r="D15" s="215"/>
      <c r="E15" s="224"/>
      <c r="F15" s="598" t="s">
        <v>1890</v>
      </c>
      <c r="G15" s="599"/>
      <c r="H15" s="599"/>
      <c r="I15" s="227"/>
      <c r="J15" s="227"/>
      <c r="K15" s="227"/>
      <c r="L15" s="227"/>
      <c r="M15" s="227"/>
      <c r="N15" s="615"/>
      <c r="O15" s="616"/>
      <c r="P15" s="43"/>
      <c r="Q15">
        <v>22</v>
      </c>
    </row>
    <row r="16" s="205" customFormat="1" ht="22.05" customHeight="1" spans="1:17">
      <c r="A16" s="42"/>
      <c r="B16" s="37"/>
      <c r="C16" s="42"/>
      <c r="D16" s="216"/>
      <c r="E16" s="600"/>
      <c r="F16" s="600"/>
      <c r="G16" s="600"/>
      <c r="H16" s="600"/>
      <c r="I16" s="600"/>
      <c r="J16" s="600"/>
      <c r="K16" s="600"/>
      <c r="L16" s="600"/>
      <c r="M16" s="42"/>
      <c r="N16" s="42"/>
      <c r="O16" s="150"/>
      <c r="P16" s="150"/>
      <c r="Q16" s="205">
        <v>21</v>
      </c>
    </row>
    <row r="17" s="205" customFormat="1" ht="14.7" customHeight="1" spans="1:17">
      <c r="A17" s="42"/>
      <c r="B17" s="37"/>
      <c r="C17" s="42"/>
      <c r="D17" s="216"/>
      <c r="E17" s="42"/>
      <c r="F17" s="42"/>
      <c r="G17" s="42"/>
      <c r="H17" s="42"/>
      <c r="I17" s="42"/>
      <c r="J17" s="42"/>
      <c r="K17" s="42"/>
      <c r="L17" s="42"/>
      <c r="M17" s="42"/>
      <c r="N17" s="42"/>
      <c r="O17" s="150"/>
      <c r="P17" s="150"/>
      <c r="Q17" s="205">
        <v>14</v>
      </c>
    </row>
    <row r="18" s="205" customFormat="1" ht="1.05" customHeight="1" spans="1:17">
      <c r="A18" s="42"/>
      <c r="B18" s="37"/>
      <c r="C18" s="42"/>
      <c r="D18" s="216"/>
      <c r="E18" s="42"/>
      <c r="F18" s="42"/>
      <c r="G18" s="42"/>
      <c r="H18" s="42"/>
      <c r="I18" s="42"/>
      <c r="J18" s="42"/>
      <c r="K18" s="42"/>
      <c r="L18" s="42"/>
      <c r="M18" s="42"/>
      <c r="N18" s="42"/>
      <c r="O18" s="150"/>
      <c r="P18" s="150"/>
      <c r="Q18" s="205">
        <v>1</v>
      </c>
    </row>
    <row r="19" ht="22.5" hidden="1" customHeight="1" spans="1:17">
      <c r="A19" s="42" t="s">
        <v>83</v>
      </c>
      <c r="B19" s="37">
        <v>0</v>
      </c>
      <c r="C19" s="42">
        <v>0</v>
      </c>
      <c r="D19" s="216">
        <v>3</v>
      </c>
      <c r="E19" s="42">
        <v>6</v>
      </c>
      <c r="F19" s="42">
        <v>27</v>
      </c>
      <c r="G19" s="42">
        <v>29</v>
      </c>
      <c r="H19" s="42">
        <v>25</v>
      </c>
      <c r="I19" s="42">
        <v>5</v>
      </c>
      <c r="J19" s="42">
        <v>6</v>
      </c>
      <c r="K19" s="42">
        <v>41</v>
      </c>
      <c r="L19" s="42">
        <v>42</v>
      </c>
      <c r="M19" s="42">
        <v>41</v>
      </c>
      <c r="N19" s="42">
        <v>89</v>
      </c>
      <c r="O19" s="150">
        <v>3</v>
      </c>
      <c r="P19" s="150">
        <v>8</v>
      </c>
      <c r="Q19" s="42">
        <v>23</v>
      </c>
    </row>
  </sheetData>
  <sheetProtection formatColumns="0" formatRows="0" insertRows="0" deleteColumns="0" deleteRows="0" sort="0" autoFilter="0"/>
  <mergeCells count="20">
    <mergeCell ref="E7:M7"/>
    <mergeCell ref="I9:K9"/>
    <mergeCell ref="E10:M10"/>
    <mergeCell ref="G11:H11"/>
    <mergeCell ref="A13:A15"/>
    <mergeCell ref="E2:E3"/>
    <mergeCell ref="E11:E12"/>
    <mergeCell ref="E13:E14"/>
    <mergeCell ref="F2:F3"/>
    <mergeCell ref="F11:F12"/>
    <mergeCell ref="F13:F14"/>
    <mergeCell ref="G2:G3"/>
    <mergeCell ref="G13:G14"/>
    <mergeCell ref="H2:H3"/>
    <mergeCell ref="H13:H14"/>
    <mergeCell ref="L11:L12"/>
    <mergeCell ref="M11:M12"/>
    <mergeCell ref="N10:N12"/>
    <mergeCell ref="N13:N15"/>
    <mergeCell ref="I11:K12"/>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paperSize="1"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EAEBEE"/>
    <pageSetUpPr fitToPage="1"/>
  </sheetPr>
  <dimension ref="A1:M16"/>
  <sheetViews>
    <sheetView showGridLines="0" zoomScale="90" zoomScaleNormal="90" workbookViewId="0">
      <pane xSplit="4" ySplit="11" topLeftCell="E12" activePane="bottomRight" state="frozen"/>
      <selection/>
      <selection pane="topRight"/>
      <selection pane="bottomLeft"/>
      <selection pane="bottomRight" activeCell="A1" sqref="A1"/>
    </sheetView>
  </sheetViews>
  <sheetFormatPr defaultColWidth="9.14285714285714" defaultRowHeight="14.25" customHeight="1"/>
  <cols>
    <col min="1" max="1" width="9.14285714285714" style="113" hidden="1"/>
    <col min="2" max="2" width="9.14285714285714" style="80" hidden="1"/>
    <col min="3" max="3" width="3" style="571" customWidth="1"/>
    <col min="4" max="4" width="6" style="80" customWidth="1"/>
    <col min="5" max="5" width="22" style="80" customWidth="1"/>
    <col min="6" max="6" width="15" style="80" customWidth="1"/>
    <col min="7" max="7" width="14" style="80" customWidth="1"/>
    <col min="8" max="8" width="47" style="80" customWidth="1"/>
    <col min="9" max="9" width="115" style="80" customWidth="1"/>
    <col min="10" max="10" width="3" style="80" customWidth="1"/>
    <col min="11" max="12" width="8" style="80" customWidth="1"/>
    <col min="13" max="13" width="9.14285714285714" style="80" hidden="1"/>
  </cols>
  <sheetData>
    <row r="1" hidden="1" customHeight="1" spans="13:13">
      <c r="M1" s="80" t="s">
        <v>14</v>
      </c>
    </row>
    <row r="2" hidden="1" customHeight="1" spans="13:13">
      <c r="M2" s="80">
        <v>0</v>
      </c>
    </row>
    <row r="3" hidden="1" customHeight="1" spans="13:13">
      <c r="M3" s="80">
        <v>0</v>
      </c>
    </row>
    <row r="4" ht="3" customHeight="1" spans="13:13">
      <c r="M4" s="80">
        <v>3</v>
      </c>
    </row>
    <row r="5" s="42" customFormat="1" ht="31.5" customHeight="1" spans="1:13">
      <c r="A5" s="572"/>
      <c r="C5" s="210"/>
      <c r="D5" s="562" t="s">
        <v>1905</v>
      </c>
      <c r="E5" s="562"/>
      <c r="F5" s="562"/>
      <c r="G5" s="562"/>
      <c r="H5" s="562"/>
      <c r="I5" s="578"/>
      <c r="M5" s="42">
        <v>30</v>
      </c>
    </row>
    <row r="6" ht="3" hidden="1" customHeight="1" spans="4:13">
      <c r="D6" s="561"/>
      <c r="E6" s="561"/>
      <c r="F6" s="561"/>
      <c r="G6" s="561"/>
      <c r="H6" s="561"/>
      <c r="I6" s="561"/>
      <c r="M6" s="80">
        <v>0</v>
      </c>
    </row>
    <row r="7" s="113" customFormat="1" ht="14.7" customHeight="1" spans="2:13">
      <c r="B7" s="80"/>
      <c r="C7" s="571"/>
      <c r="D7" s="573"/>
      <c r="E7" s="573"/>
      <c r="F7" s="573"/>
      <c r="G7" s="573"/>
      <c r="H7" s="574"/>
      <c r="I7" s="573"/>
      <c r="J7" s="579"/>
      <c r="M7" s="113">
        <v>14</v>
      </c>
    </row>
    <row r="8" ht="14.7" customHeight="1" spans="4:13">
      <c r="D8" s="65" t="s">
        <v>305</v>
      </c>
      <c r="E8" s="65"/>
      <c r="F8" s="65"/>
      <c r="G8" s="65"/>
      <c r="H8" s="65"/>
      <c r="I8" s="65" t="s">
        <v>306</v>
      </c>
      <c r="M8" s="80">
        <v>14</v>
      </c>
    </row>
    <row r="9" ht="29.25" customHeight="1" spans="4:13">
      <c r="D9" s="65" t="s">
        <v>89</v>
      </c>
      <c r="E9" s="65" t="s">
        <v>1906</v>
      </c>
      <c r="F9" s="65"/>
      <c r="G9" s="65"/>
      <c r="H9" s="65"/>
      <c r="I9" s="65"/>
      <c r="M9" s="80">
        <v>28</v>
      </c>
    </row>
    <row r="10" ht="24" customHeight="1" spans="4:13">
      <c r="D10" s="65"/>
      <c r="E10" s="65" t="s">
        <v>1907</v>
      </c>
      <c r="F10" s="65" t="s">
        <v>1908</v>
      </c>
      <c r="G10" s="65" t="s">
        <v>1909</v>
      </c>
      <c r="H10" s="65" t="s">
        <v>395</v>
      </c>
      <c r="I10" s="65"/>
      <c r="M10" s="80">
        <v>23</v>
      </c>
    </row>
    <row r="11" ht="12" hidden="1" customHeight="1" spans="4:13">
      <c r="D11" s="564" t="s">
        <v>111</v>
      </c>
      <c r="E11" s="564" t="s">
        <v>92</v>
      </c>
      <c r="F11" s="564" t="s">
        <v>113</v>
      </c>
      <c r="G11" s="564" t="s">
        <v>93</v>
      </c>
      <c r="H11" s="564" t="s">
        <v>94</v>
      </c>
      <c r="I11" s="564" t="s">
        <v>114</v>
      </c>
      <c r="M11" s="80">
        <v>0</v>
      </c>
    </row>
    <row r="12" s="80" customFormat="1" ht="26.25" customHeight="1" spans="1:13">
      <c r="A12" s="263" t="s">
        <v>91</v>
      </c>
      <c r="B12" s="80" t="s">
        <v>28</v>
      </c>
      <c r="C12" s="264"/>
      <c r="D12" s="231" t="s">
        <v>111</v>
      </c>
      <c r="E12" s="212"/>
      <c r="F12" s="212"/>
      <c r="G12" s="138" t="s">
        <v>28</v>
      </c>
      <c r="H12" s="575"/>
      <c r="I12" s="580" t="s">
        <v>1910</v>
      </c>
      <c r="K12" s="286"/>
      <c r="L12" s="151"/>
      <c r="M12" s="80">
        <v>25</v>
      </c>
    </row>
    <row r="13" ht="15.75" customHeight="1" spans="1:13">
      <c r="A13" s="80"/>
      <c r="C13" s="80"/>
      <c r="D13" s="400"/>
      <c r="E13" s="331" t="s">
        <v>470</v>
      </c>
      <c r="F13" s="576"/>
      <c r="G13" s="576"/>
      <c r="H13" s="577"/>
      <c r="I13" s="581"/>
      <c r="M13" s="80">
        <v>15</v>
      </c>
    </row>
    <row r="14" ht="3" customHeight="1" spans="1:13">
      <c r="A14" s="80"/>
      <c r="C14" s="80"/>
      <c r="M14" s="80">
        <v>3</v>
      </c>
    </row>
    <row r="15" ht="29.25" customHeight="1" spans="5:13">
      <c r="E15" s="570" t="s">
        <v>1911</v>
      </c>
      <c r="F15" s="570"/>
      <c r="G15" s="570"/>
      <c r="H15" s="570"/>
      <c r="M15" s="80">
        <v>28</v>
      </c>
    </row>
    <row r="16" hidden="1" customHeight="1" spans="1:13">
      <c r="A16" s="113" t="s">
        <v>83</v>
      </c>
      <c r="B16" s="80">
        <v>0</v>
      </c>
      <c r="C16" s="571">
        <v>3</v>
      </c>
      <c r="D16" s="80">
        <v>6</v>
      </c>
      <c r="E16" s="80">
        <v>22</v>
      </c>
      <c r="F16" s="80">
        <v>15</v>
      </c>
      <c r="G16" s="80">
        <v>14</v>
      </c>
      <c r="H16" s="80">
        <v>47</v>
      </c>
      <c r="I16" s="80">
        <v>115</v>
      </c>
      <c r="J16" s="80">
        <v>3</v>
      </c>
      <c r="K16" s="80">
        <v>8</v>
      </c>
      <c r="L16" s="80">
        <v>8</v>
      </c>
      <c r="M16" s="80">
        <v>14</v>
      </c>
    </row>
  </sheetData>
  <sheetProtection formatColumns="0" formatRows="0" insertRows="0" deleteColumns="0" deleteRows="0" sort="0" autoFilter="0"/>
  <mergeCells count="7">
    <mergeCell ref="D5:H5"/>
    <mergeCell ref="D8:H8"/>
    <mergeCell ref="E9:H9"/>
    <mergeCell ref="E15:H15"/>
    <mergeCell ref="D9:D10"/>
    <mergeCell ref="I8:I10"/>
    <mergeCell ref="I12:I13"/>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s>
  <printOptions horizontalCentered="1"/>
  <pageMargins left="0.24" right="0.24" top="0.24" bottom="0.24" header="0.24" footer="0.24"/>
  <pageSetup paperSize="9" scale="70" fitToHeight="0" orientation="landscape"/>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pageSetUpPr fitToPage="1"/>
  </sheetPr>
  <dimension ref="A1:J16"/>
  <sheetViews>
    <sheetView showGridLines="0" zoomScale="90" zoomScaleNormal="90" workbookViewId="0">
      <pane xSplit="4" ySplit="11" topLeftCell="E12" activePane="bottomRight" state="frozen"/>
      <selection/>
      <selection pane="topRight"/>
      <selection pane="bottomLeft"/>
      <selection pane="bottomRight" activeCell="A1" sqref="A1"/>
    </sheetView>
  </sheetViews>
  <sheetFormatPr defaultColWidth="9.14285714285714" defaultRowHeight="14.25" customHeight="1"/>
  <cols>
    <col min="1" max="2" width="9.14285714285714" style="204" hidden="1"/>
    <col min="3" max="3" width="3" style="559" customWidth="1"/>
    <col min="4" max="4" width="6" style="204" customWidth="1"/>
    <col min="5" max="5" width="94" style="204" customWidth="1"/>
    <col min="6" max="9" width="8" style="204" customWidth="1"/>
    <col min="10" max="10" width="9.14285714285714" style="204" hidden="1"/>
  </cols>
  <sheetData>
    <row r="1" hidden="1" customHeight="1" spans="10:10">
      <c r="J1" s="204" t="s">
        <v>14</v>
      </c>
    </row>
    <row r="2" hidden="1" customHeight="1" spans="10:10">
      <c r="J2" s="204">
        <v>0</v>
      </c>
    </row>
    <row r="3" hidden="1" customHeight="1" spans="10:10">
      <c r="J3" s="204">
        <v>0</v>
      </c>
    </row>
    <row r="4" hidden="1" customHeight="1" spans="10:10">
      <c r="J4" s="204">
        <v>0</v>
      </c>
    </row>
    <row r="5" hidden="1" customHeight="1" spans="10:10">
      <c r="J5" s="204">
        <v>0</v>
      </c>
    </row>
    <row r="6" ht="3" customHeight="1" spans="3:10">
      <c r="C6" s="560"/>
      <c r="D6" s="561"/>
      <c r="E6" s="561"/>
      <c r="J6" s="204">
        <v>3</v>
      </c>
    </row>
    <row r="7" ht="23.25" customHeight="1" spans="3:10">
      <c r="C7" s="560"/>
      <c r="D7" s="388" t="s">
        <v>1912</v>
      </c>
      <c r="E7" s="566"/>
      <c r="F7" s="563"/>
      <c r="J7" s="204">
        <v>22</v>
      </c>
    </row>
    <row r="8" ht="3" customHeight="1" spans="3:10">
      <c r="C8" s="560"/>
      <c r="D8" s="561"/>
      <c r="E8" s="561"/>
      <c r="J8" s="204">
        <v>3</v>
      </c>
    </row>
    <row r="9" ht="16.8" customHeight="1" spans="3:10">
      <c r="C9" s="560"/>
      <c r="D9" s="65" t="s">
        <v>89</v>
      </c>
      <c r="E9" s="63" t="s">
        <v>1913</v>
      </c>
      <c r="J9" s="204">
        <v>16</v>
      </c>
    </row>
    <row r="10" ht="1.05" customHeight="1" spans="3:10">
      <c r="C10" s="560"/>
      <c r="D10" s="564"/>
      <c r="E10" s="564"/>
      <c r="J10" s="204">
        <v>1</v>
      </c>
    </row>
    <row r="11" ht="11.25" hidden="1" customHeight="1" spans="3:10">
      <c r="C11" s="560"/>
      <c r="D11" s="567">
        <v>0</v>
      </c>
      <c r="E11" s="525"/>
      <c r="J11" s="204">
        <v>0</v>
      </c>
    </row>
    <row r="12" ht="15.75" customHeight="1" spans="3:10">
      <c r="C12" s="210"/>
      <c r="D12" s="211">
        <v>1</v>
      </c>
      <c r="E12" s="212"/>
      <c r="J12" s="204">
        <v>15</v>
      </c>
    </row>
    <row r="13" ht="12.75" customHeight="1" spans="3:10">
      <c r="C13" s="560"/>
      <c r="D13" s="568"/>
      <c r="E13" s="565" t="s">
        <v>1914</v>
      </c>
      <c r="J13" s="204">
        <v>12</v>
      </c>
    </row>
    <row r="14" ht="3" customHeight="1" spans="10:10">
      <c r="J14" s="204">
        <v>3</v>
      </c>
    </row>
    <row r="15" ht="23.25" customHeight="1" spans="3:10">
      <c r="C15" s="569"/>
      <c r="D15" s="570" t="s">
        <v>1915</v>
      </c>
      <c r="E15" s="570"/>
      <c r="F15" s="437"/>
      <c r="G15" s="437"/>
      <c r="H15" s="437"/>
      <c r="I15" s="437"/>
      <c r="J15" s="204">
        <v>22</v>
      </c>
    </row>
    <row r="16" hidden="1" customHeight="1" spans="1:10">
      <c r="A16" s="204" t="s">
        <v>83</v>
      </c>
      <c r="B16" s="204">
        <v>0</v>
      </c>
      <c r="C16" s="559">
        <v>3</v>
      </c>
      <c r="D16" s="204">
        <v>6</v>
      </c>
      <c r="E16" s="204">
        <v>94</v>
      </c>
      <c r="F16" s="204">
        <v>8</v>
      </c>
      <c r="G16" s="204">
        <v>8</v>
      </c>
      <c r="H16" s="204">
        <v>8</v>
      </c>
      <c r="I16" s="204">
        <v>8</v>
      </c>
      <c r="J16" s="204">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pageSetUpPr fitToPage="1"/>
  </sheetPr>
  <dimension ref="A1:M14"/>
  <sheetViews>
    <sheetView showGridLines="0" tabSelected="1" zoomScale="90" zoomScaleNormal="90" topLeftCell="C6" workbookViewId="0">
      <selection activeCell="E12" sqref="E12"/>
    </sheetView>
  </sheetViews>
  <sheetFormatPr defaultColWidth="9.14285714285714" defaultRowHeight="14.25" customHeight="1"/>
  <cols>
    <col min="1" max="2" width="9.14285714285714" style="204" hidden="1"/>
    <col min="3" max="3" width="3" style="559" customWidth="1"/>
    <col min="4" max="4" width="6" style="204" customWidth="1"/>
    <col min="5" max="5" width="94" style="204" customWidth="1"/>
    <col min="6" max="12" width="8" style="204" customWidth="1"/>
    <col min="13" max="13" width="9.14285714285714" style="204" hidden="1"/>
  </cols>
  <sheetData>
    <row r="1" hidden="1" customHeight="1" spans="13:13">
      <c r="M1" s="204" t="s">
        <v>14</v>
      </c>
    </row>
    <row r="2" hidden="1" customHeight="1" spans="13:13">
      <c r="M2" s="204">
        <v>0</v>
      </c>
    </row>
    <row r="3" hidden="1" customHeight="1" spans="13:13">
      <c r="M3" s="204">
        <v>0</v>
      </c>
    </row>
    <row r="4" hidden="1" customHeight="1" spans="13:13">
      <c r="M4" s="204">
        <v>0</v>
      </c>
    </row>
    <row r="5" hidden="1" customHeight="1" spans="13:13">
      <c r="M5" s="204">
        <v>0</v>
      </c>
    </row>
    <row r="6" ht="3" customHeight="1" spans="3:13">
      <c r="C6" s="560"/>
      <c r="D6" s="561"/>
      <c r="E6" s="561"/>
      <c r="M6" s="204">
        <v>3</v>
      </c>
    </row>
    <row r="7" ht="23.25" customHeight="1" spans="3:13">
      <c r="C7" s="560"/>
      <c r="D7" s="562" t="s">
        <v>1916</v>
      </c>
      <c r="E7" s="562"/>
      <c r="F7" s="563"/>
      <c r="M7" s="204">
        <v>22</v>
      </c>
    </row>
    <row r="8" ht="3" customHeight="1" spans="3:13">
      <c r="C8" s="560"/>
      <c r="D8" s="561"/>
      <c r="E8" s="561"/>
      <c r="M8" s="204">
        <v>3</v>
      </c>
    </row>
    <row r="9" ht="16.8" customHeight="1" spans="3:13">
      <c r="C9" s="560"/>
      <c r="D9" s="65" t="s">
        <v>89</v>
      </c>
      <c r="E9" s="130" t="s">
        <v>292</v>
      </c>
      <c r="M9" s="204">
        <v>16</v>
      </c>
    </row>
    <row r="10" ht="12.75" customHeight="1" spans="3:13">
      <c r="C10" s="560"/>
      <c r="D10" s="564" t="s">
        <v>111</v>
      </c>
      <c r="E10" s="564" t="s">
        <v>112</v>
      </c>
      <c r="M10" s="204">
        <v>12</v>
      </c>
    </row>
    <row r="11" ht="15" hidden="1" customHeight="1" spans="3:13">
      <c r="C11" s="560"/>
      <c r="D11" s="211">
        <v>0</v>
      </c>
      <c r="E11" s="103"/>
      <c r="M11" s="204">
        <v>0</v>
      </c>
    </row>
    <row r="12" ht="90.75" customHeight="1" spans="3:5">
      <c r="C12" s="213" t="s">
        <v>521</v>
      </c>
      <c r="D12" s="211" t="s">
        <v>111</v>
      </c>
      <c r="E12" s="214" t="s">
        <v>1917</v>
      </c>
    </row>
    <row r="13" ht="14.7" customHeight="1" spans="3:13">
      <c r="C13" s="560"/>
      <c r="D13" s="400"/>
      <c r="E13" s="565" t="s">
        <v>1914</v>
      </c>
      <c r="M13" s="204">
        <v>14</v>
      </c>
    </row>
    <row r="14" hidden="1" customHeight="1" spans="1:13">
      <c r="A14" s="204" t="s">
        <v>83</v>
      </c>
      <c r="B14" s="204">
        <v>0</v>
      </c>
      <c r="C14" s="559">
        <v>3</v>
      </c>
      <c r="D14" s="204">
        <v>6</v>
      </c>
      <c r="E14" s="204">
        <v>94</v>
      </c>
      <c r="F14" s="204">
        <v>8</v>
      </c>
      <c r="G14" s="204">
        <v>8</v>
      </c>
      <c r="H14" s="204">
        <v>8</v>
      </c>
      <c r="I14" s="204">
        <v>8</v>
      </c>
      <c r="J14" s="204">
        <v>8</v>
      </c>
      <c r="K14" s="204">
        <v>8</v>
      </c>
      <c r="L14" s="204">
        <v>8</v>
      </c>
      <c r="M14" s="204">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E12">
      <formula1>900</formula1>
    </dataValidation>
  </dataValidations>
  <pageMargins left="0.75" right="0.75" top="1" bottom="1" header="0.5" footer="0.5"/>
  <pageSetup paperSize="9" scale="94"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BM50"/>
  <sheetViews>
    <sheetView showGridLines="0" zoomScale="90" zoomScaleNormal="90" workbookViewId="0">
      <pane xSplit="10" ySplit="10" topLeftCell="K11" activePane="bottomRight" state="frozen"/>
      <selection/>
      <selection pane="topRight"/>
      <selection pane="bottomLeft"/>
      <selection pane="bottomRight" activeCell="A1" sqref="A1"/>
    </sheetView>
  </sheetViews>
  <sheetFormatPr defaultColWidth="9.14285714285714" defaultRowHeight="11.25" customHeight="1"/>
  <cols>
    <col min="1" max="2" width="9.14285714285714" hidden="1"/>
    <col min="3" max="4" width="3" customWidth="1"/>
    <col min="5" max="6" width="15" customWidth="1"/>
    <col min="7" max="7" width="11.5714285714286" customWidth="1"/>
    <col min="8" max="9" width="3" customWidth="1"/>
    <col min="10" max="10" width="12" customWidth="1"/>
    <col min="11" max="11" width="0.285714285714286" customWidth="1"/>
    <col min="12" max="13" width="10" customWidth="1"/>
    <col min="14" max="15" width="3" customWidth="1"/>
    <col min="16" max="16" width="19" customWidth="1"/>
    <col min="17" max="17" width="0.285714285714286" customWidth="1"/>
    <col min="18" max="19" width="10" customWidth="1"/>
    <col min="20" max="21" width="3" customWidth="1"/>
    <col min="22" max="22" width="25" customWidth="1"/>
    <col min="23" max="23" width="0.285714285714286" customWidth="1"/>
    <col min="24" max="25" width="10" customWidth="1"/>
    <col min="26" max="27" width="3" customWidth="1"/>
    <col min="28" max="28" width="16" customWidth="1"/>
    <col min="29" max="29" width="0.285714285714286" customWidth="1"/>
    <col min="30" max="31" width="10" customWidth="1"/>
    <col min="32" max="33" width="3" customWidth="1"/>
    <col min="34" max="34" width="8" customWidth="1"/>
    <col min="35" max="35" width="21" customWidth="1"/>
    <col min="36" max="36" width="8" customWidth="1"/>
    <col min="37" max="37" width="8" style="113" customWidth="1"/>
    <col min="38" max="64" width="8" customWidth="1"/>
    <col min="65" max="65" width="9.14285714285714" hidden="1"/>
  </cols>
  <sheetData>
    <row r="1" s="151" customFormat="1" hidden="1" customHeight="1" spans="36:65">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151" t="s">
        <v>14</v>
      </c>
    </row>
    <row r="2" s="1247" customFormat="1" hidden="1" customHeight="1" spans="12:65">
      <c r="L2" s="1247" t="s">
        <v>284</v>
      </c>
      <c r="M2" s="1247" t="s">
        <v>285</v>
      </c>
      <c r="R2" s="1247" t="s">
        <v>286</v>
      </c>
      <c r="S2" s="1247" t="s">
        <v>285</v>
      </c>
      <c r="X2" s="1247" t="s">
        <v>284</v>
      </c>
      <c r="Y2" s="1247" t="s">
        <v>285</v>
      </c>
      <c r="AD2" s="1247" t="s">
        <v>284</v>
      </c>
      <c r="AE2" s="1247" t="s">
        <v>285</v>
      </c>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250"/>
      <c r="BG2" s="1250"/>
      <c r="BH2" s="1250"/>
      <c r="BI2" s="1250"/>
      <c r="BJ2" s="1250"/>
      <c r="BK2" s="1250"/>
      <c r="BL2" s="1250"/>
      <c r="BM2" s="1247">
        <v>0</v>
      </c>
    </row>
    <row r="3" s="209" customFormat="1" ht="11.55" customHeight="1" spans="36:65">
      <c r="AJ3"/>
      <c r="AK3" s="113"/>
      <c r="AL3"/>
      <c r="AM3"/>
      <c r="AN3"/>
      <c r="AO3"/>
      <c r="AP3"/>
      <c r="AQ3"/>
      <c r="AR3"/>
      <c r="AS3"/>
      <c r="AT3"/>
      <c r="AU3"/>
      <c r="AV3"/>
      <c r="AW3"/>
      <c r="AX3"/>
      <c r="AY3"/>
      <c r="AZ3"/>
      <c r="BA3"/>
      <c r="BB3"/>
      <c r="BC3"/>
      <c r="BD3"/>
      <c r="BE3"/>
      <c r="BF3"/>
      <c r="BG3"/>
      <c r="BH3"/>
      <c r="BI3"/>
      <c r="BJ3"/>
      <c r="BK3"/>
      <c r="BL3"/>
      <c r="BM3" s="209">
        <v>11</v>
      </c>
    </row>
    <row r="4" s="205" customFormat="1" ht="34.5" customHeight="1" spans="1:65">
      <c r="A4" s="572"/>
      <c r="B4" s="42"/>
      <c r="C4" s="216"/>
      <c r="D4" s="968" t="s">
        <v>287</v>
      </c>
      <c r="E4" s="968"/>
      <c r="F4" s="968"/>
      <c r="G4" s="968"/>
      <c r="H4" s="968"/>
      <c r="I4" s="968"/>
      <c r="J4" s="968"/>
      <c r="K4" s="1217"/>
      <c r="T4" s="1249"/>
      <c r="AJ4" s="1251"/>
      <c r="AK4" s="1252"/>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205">
        <v>33</v>
      </c>
    </row>
    <row r="5" s="205" customFormat="1" ht="14.7" customHeight="1" spans="1:65">
      <c r="A5" s="572"/>
      <c r="B5" s="42"/>
      <c r="C5" s="216"/>
      <c r="D5" s="657" t="str">
        <f>IF(org=0,"Не определено",org)</f>
        <v>АО "ОЭЗ ППТ "Алабуга"</v>
      </c>
      <c r="E5" s="657"/>
      <c r="F5" s="657"/>
      <c r="G5" s="657"/>
      <c r="H5" s="657"/>
      <c r="I5" s="657"/>
      <c r="J5" s="657"/>
      <c r="K5" s="1217"/>
      <c r="T5" s="1249"/>
      <c r="AJ5" s="1251"/>
      <c r="AK5" s="1252"/>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205">
        <v>14</v>
      </c>
    </row>
    <row r="6" s="205" customFormat="1" ht="14.7" customHeight="1" spans="1:65">
      <c r="A6" s="572"/>
      <c r="B6" s="42"/>
      <c r="C6" s="216"/>
      <c r="D6" s="1217"/>
      <c r="E6" s="1217"/>
      <c r="F6" s="1217"/>
      <c r="G6" s="1217"/>
      <c r="H6" s="1217"/>
      <c r="I6" s="1217"/>
      <c r="J6" s="1217"/>
      <c r="K6" s="1217"/>
      <c r="T6" s="1249"/>
      <c r="AJ6" s="1251"/>
      <c r="AK6" s="1252"/>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205">
        <v>14</v>
      </c>
    </row>
    <row r="7" s="151" customFormat="1" ht="1.05" customHeight="1" spans="36:65">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151">
        <v>1</v>
      </c>
    </row>
    <row r="8" ht="33.75" customHeight="1" spans="4:65">
      <c r="D8" s="63" t="s">
        <v>89</v>
      </c>
      <c r="E8" s="63" t="s">
        <v>107</v>
      </c>
      <c r="F8" s="892" t="s">
        <v>124</v>
      </c>
      <c r="G8" s="893"/>
      <c r="H8" s="892" t="s">
        <v>89</v>
      </c>
      <c r="I8" s="893"/>
      <c r="J8" s="63" t="s">
        <v>125</v>
      </c>
      <c r="K8" s="397"/>
      <c r="L8" s="70" t="s">
        <v>288</v>
      </c>
      <c r="M8" s="70"/>
      <c r="N8" s="70"/>
      <c r="O8" s="70"/>
      <c r="P8" s="70"/>
      <c r="Q8" s="892"/>
      <c r="R8" s="125" t="s">
        <v>289</v>
      </c>
      <c r="S8" s="127"/>
      <c r="T8" s="127"/>
      <c r="U8" s="127"/>
      <c r="V8" s="127"/>
      <c r="W8" s="892"/>
      <c r="X8" s="63" t="s">
        <v>290</v>
      </c>
      <c r="Y8" s="63"/>
      <c r="Z8" s="63"/>
      <c r="AA8" s="63"/>
      <c r="AB8" s="63"/>
      <c r="AC8" s="70"/>
      <c r="AD8" s="63" t="s">
        <v>291</v>
      </c>
      <c r="AE8" s="63"/>
      <c r="AF8" s="63"/>
      <c r="AG8" s="63"/>
      <c r="AH8" s="125"/>
      <c r="AI8" s="63" t="s">
        <v>292</v>
      </c>
      <c r="BM8">
        <v>32</v>
      </c>
    </row>
    <row r="9" ht="23.25" customHeight="1" spans="4:65">
      <c r="D9" s="63"/>
      <c r="E9" s="63"/>
      <c r="F9" s="70" t="s">
        <v>90</v>
      </c>
      <c r="G9" s="70" t="s">
        <v>130</v>
      </c>
      <c r="H9" s="894"/>
      <c r="I9" s="895"/>
      <c r="J9" s="125"/>
      <c r="K9" s="894"/>
      <c r="L9" s="63" t="s">
        <v>293</v>
      </c>
      <c r="M9" s="125"/>
      <c r="N9" s="892" t="s">
        <v>89</v>
      </c>
      <c r="O9" s="893"/>
      <c r="P9" s="63" t="s">
        <v>131</v>
      </c>
      <c r="Q9" s="397"/>
      <c r="R9" s="63" t="s">
        <v>293</v>
      </c>
      <c r="S9" s="125"/>
      <c r="T9" s="892" t="s">
        <v>89</v>
      </c>
      <c r="U9" s="893"/>
      <c r="V9" s="63" t="s">
        <v>131</v>
      </c>
      <c r="W9" s="397"/>
      <c r="X9" s="63" t="s">
        <v>293</v>
      </c>
      <c r="Y9" s="125"/>
      <c r="Z9" s="892" t="s">
        <v>89</v>
      </c>
      <c r="AA9" s="893"/>
      <c r="AB9" s="63" t="s">
        <v>294</v>
      </c>
      <c r="AC9" s="397"/>
      <c r="AD9" s="63" t="s">
        <v>293</v>
      </c>
      <c r="AE9" s="125"/>
      <c r="AF9" s="892" t="s">
        <v>89</v>
      </c>
      <c r="AG9" s="893"/>
      <c r="AH9" s="125" t="s">
        <v>294</v>
      </c>
      <c r="AI9" s="63"/>
      <c r="BM9">
        <v>22</v>
      </c>
    </row>
    <row r="10" ht="24" customHeight="1" spans="4:65">
      <c r="D10" s="70"/>
      <c r="E10" s="70"/>
      <c r="F10" s="397"/>
      <c r="G10" s="397"/>
      <c r="H10" s="896"/>
      <c r="I10" s="897"/>
      <c r="J10" s="892"/>
      <c r="K10" s="894"/>
      <c r="L10" s="70" t="s">
        <v>295</v>
      </c>
      <c r="M10" s="892" t="s">
        <v>296</v>
      </c>
      <c r="N10" s="894"/>
      <c r="O10" s="895"/>
      <c r="P10" s="70"/>
      <c r="Q10" s="397"/>
      <c r="R10" s="70" t="s">
        <v>295</v>
      </c>
      <c r="S10" s="892" t="s">
        <v>296</v>
      </c>
      <c r="T10" s="894"/>
      <c r="U10" s="895"/>
      <c r="V10" s="70"/>
      <c r="W10" s="397"/>
      <c r="X10" s="70" t="s">
        <v>295</v>
      </c>
      <c r="Y10" s="892" t="s">
        <v>296</v>
      </c>
      <c r="Z10" s="894"/>
      <c r="AA10" s="895"/>
      <c r="AB10" s="70"/>
      <c r="AC10" s="397"/>
      <c r="AD10" s="70" t="s">
        <v>295</v>
      </c>
      <c r="AE10" s="892" t="s">
        <v>296</v>
      </c>
      <c r="AF10" s="894"/>
      <c r="AG10" s="895"/>
      <c r="AH10" s="892"/>
      <c r="AI10" s="70"/>
      <c r="AK10" s="80" t="s">
        <v>297</v>
      </c>
      <c r="AL10" s="80" t="s">
        <v>132</v>
      </c>
      <c r="BM10">
        <v>23</v>
      </c>
    </row>
    <row r="11" ht="15" customHeight="1" spans="4:65">
      <c r="D11" s="665" t="s">
        <v>111</v>
      </c>
      <c r="E11" s="392" t="s">
        <v>298</v>
      </c>
      <c r="F11" s="392" t="s">
        <v>299</v>
      </c>
      <c r="G11" s="472" t="s">
        <v>19</v>
      </c>
      <c r="H11" s="508"/>
      <c r="I11" s="531"/>
      <c r="J11" s="514"/>
      <c r="K11" s="514"/>
      <c r="L11" s="515"/>
      <c r="M11" s="515"/>
      <c r="N11" s="532"/>
      <c r="O11" s="515"/>
      <c r="P11" s="514"/>
      <c r="Q11" s="514"/>
      <c r="R11" s="515"/>
      <c r="S11" s="515"/>
      <c r="T11" s="546"/>
      <c r="U11" s="515"/>
      <c r="V11" s="514"/>
      <c r="W11" s="515"/>
      <c r="X11" s="515"/>
      <c r="Y11" s="515"/>
      <c r="Z11" s="532"/>
      <c r="AA11" s="515"/>
      <c r="AB11" s="514"/>
      <c r="AC11" s="554"/>
      <c r="AD11" s="515"/>
      <c r="AE11" s="515"/>
      <c r="AF11" s="515"/>
      <c r="AG11" s="515"/>
      <c r="AH11" s="532"/>
      <c r="AI11" s="536"/>
      <c r="BM11">
        <v>14</v>
      </c>
    </row>
    <row r="12" ht="14.7" customHeight="1" spans="4:65">
      <c r="D12" s="665"/>
      <c r="E12" s="392"/>
      <c r="F12" s="392"/>
      <c r="G12" s="474"/>
      <c r="H12" s="509"/>
      <c r="I12" s="533"/>
      <c r="J12" s="518"/>
      <c r="K12" s="41"/>
      <c r="L12" s="519"/>
      <c r="M12" s="519"/>
      <c r="N12" s="39"/>
      <c r="O12" s="519"/>
      <c r="P12" s="518"/>
      <c r="Q12" s="518"/>
      <c r="R12" s="519"/>
      <c r="S12" s="519"/>
      <c r="T12" s="547"/>
      <c r="U12" s="519"/>
      <c r="V12" s="518"/>
      <c r="W12" s="519"/>
      <c r="X12" s="519"/>
      <c r="Y12" s="519"/>
      <c r="Z12" s="39"/>
      <c r="AA12" s="519"/>
      <c r="AB12" s="518"/>
      <c r="AC12" s="41"/>
      <c r="AD12" s="519"/>
      <c r="AE12" s="519"/>
      <c r="AF12" s="522"/>
      <c r="AG12" s="522"/>
      <c r="AH12" s="522"/>
      <c r="AI12" s="537"/>
      <c r="BM12">
        <v>14</v>
      </c>
    </row>
    <row r="13" ht="14.7" customHeight="1" spans="4:65">
      <c r="D13" s="665"/>
      <c r="E13" s="392"/>
      <c r="F13" s="392"/>
      <c r="G13" s="474"/>
      <c r="H13" s="509"/>
      <c r="I13" s="533"/>
      <c r="J13" s="518"/>
      <c r="K13" s="41"/>
      <c r="L13" s="519"/>
      <c r="M13" s="519"/>
      <c r="N13" s="39"/>
      <c r="O13" s="519"/>
      <c r="P13" s="518"/>
      <c r="Q13" s="518"/>
      <c r="R13" s="519"/>
      <c r="S13" s="519"/>
      <c r="T13" s="547"/>
      <c r="U13" s="519"/>
      <c r="V13" s="518"/>
      <c r="W13" s="519"/>
      <c r="X13" s="519"/>
      <c r="Y13" s="519"/>
      <c r="Z13" s="519"/>
      <c r="AA13" s="522"/>
      <c r="AB13" s="522"/>
      <c r="AC13" s="522"/>
      <c r="AD13" s="522"/>
      <c r="AE13" s="522"/>
      <c r="AF13" s="522"/>
      <c r="AG13" s="522"/>
      <c r="AH13" s="522"/>
      <c r="AI13" s="537"/>
      <c r="BM13">
        <v>14</v>
      </c>
    </row>
    <row r="14" ht="14.7" customHeight="1" spans="4:65">
      <c r="D14" s="665"/>
      <c r="E14" s="392"/>
      <c r="F14" s="392"/>
      <c r="G14" s="474"/>
      <c r="H14" s="509"/>
      <c r="I14" s="533"/>
      <c r="J14" s="518"/>
      <c r="K14" s="41"/>
      <c r="L14" s="519"/>
      <c r="M14" s="519"/>
      <c r="N14" s="39"/>
      <c r="O14" s="519"/>
      <c r="P14" s="518"/>
      <c r="Q14" s="518"/>
      <c r="R14" s="519"/>
      <c r="S14" s="519"/>
      <c r="T14" s="264"/>
      <c r="U14" s="548"/>
      <c r="V14" s="522"/>
      <c r="W14" s="522"/>
      <c r="X14" s="522"/>
      <c r="Y14" s="522"/>
      <c r="Z14" s="522"/>
      <c r="AA14" s="522"/>
      <c r="AB14" s="522"/>
      <c r="AC14" s="522"/>
      <c r="AD14" s="522"/>
      <c r="AE14" s="522"/>
      <c r="AF14" s="522"/>
      <c r="AG14" s="522"/>
      <c r="AH14" s="522"/>
      <c r="AI14" s="537"/>
      <c r="BM14">
        <v>14</v>
      </c>
    </row>
    <row r="15" ht="11.55" customHeight="1" spans="4:65">
      <c r="D15" s="665"/>
      <c r="E15" s="392"/>
      <c r="F15" s="392"/>
      <c r="G15" s="474"/>
      <c r="H15" s="510"/>
      <c r="I15" s="533"/>
      <c r="J15" s="518"/>
      <c r="K15" s="41"/>
      <c r="L15" s="519"/>
      <c r="M15" s="519"/>
      <c r="N15" s="522"/>
      <c r="O15" s="522"/>
      <c r="P15" s="522"/>
      <c r="Q15" s="522"/>
      <c r="R15" s="522"/>
      <c r="S15" s="522"/>
      <c r="T15" s="522"/>
      <c r="U15" s="522"/>
      <c r="V15" s="522"/>
      <c r="W15" s="522"/>
      <c r="X15" s="522"/>
      <c r="Y15" s="522"/>
      <c r="Z15" s="522"/>
      <c r="AA15" s="522"/>
      <c r="AB15" s="522"/>
      <c r="AC15" s="522"/>
      <c r="AD15" s="522"/>
      <c r="AE15" s="522"/>
      <c r="AF15" s="522"/>
      <c r="AG15" s="522"/>
      <c r="AH15" s="522"/>
      <c r="AI15" s="537"/>
      <c r="BM15">
        <v>11</v>
      </c>
    </row>
    <row r="16" s="209" customFormat="1" ht="11.55" customHeight="1" spans="4:65">
      <c r="D16" s="838"/>
      <c r="E16" s="550"/>
      <c r="F16" s="1248"/>
      <c r="G16" s="477"/>
      <c r="H16" s="512"/>
      <c r="I16" s="534"/>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39"/>
      <c r="AJ16"/>
      <c r="AK16" s="113"/>
      <c r="AL16"/>
      <c r="AM16"/>
      <c r="AN16"/>
      <c r="AO16"/>
      <c r="AP16"/>
      <c r="AQ16"/>
      <c r="AR16"/>
      <c r="AS16"/>
      <c r="AT16"/>
      <c r="AU16"/>
      <c r="AV16"/>
      <c r="AW16"/>
      <c r="AX16"/>
      <c r="AY16"/>
      <c r="AZ16"/>
      <c r="BA16"/>
      <c r="BB16"/>
      <c r="BC16"/>
      <c r="BD16"/>
      <c r="BE16"/>
      <c r="BF16"/>
      <c r="BG16"/>
      <c r="BH16"/>
      <c r="BI16"/>
      <c r="BJ16"/>
      <c r="BK16"/>
      <c r="BL16"/>
      <c r="BM16" s="209">
        <v>11</v>
      </c>
    </row>
    <row r="17" ht="15" customHeight="1" spans="4:65">
      <c r="D17" s="665" t="s">
        <v>112</v>
      </c>
      <c r="E17" s="392" t="s">
        <v>298</v>
      </c>
      <c r="F17" s="392" t="s">
        <v>300</v>
      </c>
      <c r="G17" s="472" t="s">
        <v>19</v>
      </c>
      <c r="H17" s="508"/>
      <c r="I17" s="531"/>
      <c r="J17" s="514"/>
      <c r="K17" s="514"/>
      <c r="L17" s="515"/>
      <c r="M17" s="515"/>
      <c r="N17" s="532"/>
      <c r="O17" s="515"/>
      <c r="P17" s="514"/>
      <c r="Q17" s="514"/>
      <c r="R17" s="515"/>
      <c r="S17" s="515"/>
      <c r="T17" s="546"/>
      <c r="U17" s="515"/>
      <c r="V17" s="514"/>
      <c r="W17" s="515"/>
      <c r="X17" s="515"/>
      <c r="Y17" s="515"/>
      <c r="Z17" s="532"/>
      <c r="AA17" s="515"/>
      <c r="AB17" s="514"/>
      <c r="AC17" s="554"/>
      <c r="AD17" s="515"/>
      <c r="AE17" s="515"/>
      <c r="AF17" s="515"/>
      <c r="AG17" s="515"/>
      <c r="AH17" s="532"/>
      <c r="AI17" s="536"/>
      <c r="BM17">
        <v>14</v>
      </c>
    </row>
    <row r="18" ht="14.7" customHeight="1" spans="4:65">
      <c r="D18" s="665"/>
      <c r="E18" s="392"/>
      <c r="F18" s="392"/>
      <c r="G18" s="474"/>
      <c r="H18" s="509"/>
      <c r="I18" s="533"/>
      <c r="J18" s="518"/>
      <c r="K18" s="41"/>
      <c r="L18" s="519"/>
      <c r="M18" s="519"/>
      <c r="N18" s="39"/>
      <c r="O18" s="519"/>
      <c r="P18" s="518"/>
      <c r="Q18" s="518"/>
      <c r="R18" s="519"/>
      <c r="S18" s="519"/>
      <c r="T18" s="547"/>
      <c r="U18" s="519"/>
      <c r="V18" s="518"/>
      <c r="W18" s="519"/>
      <c r="X18" s="519"/>
      <c r="Y18" s="519"/>
      <c r="Z18" s="39"/>
      <c r="AA18" s="519"/>
      <c r="AB18" s="518"/>
      <c r="AC18" s="41"/>
      <c r="AD18" s="519"/>
      <c r="AE18" s="519"/>
      <c r="AF18" s="522"/>
      <c r="AG18" s="522"/>
      <c r="AH18" s="522"/>
      <c r="AI18" s="537"/>
      <c r="BM18">
        <v>14</v>
      </c>
    </row>
    <row r="19" ht="14.7" customHeight="1" spans="4:65">
      <c r="D19" s="665"/>
      <c r="E19" s="392"/>
      <c r="F19" s="392"/>
      <c r="G19" s="474"/>
      <c r="H19" s="509"/>
      <c r="I19" s="533"/>
      <c r="J19" s="518"/>
      <c r="K19" s="41"/>
      <c r="L19" s="519"/>
      <c r="M19" s="519"/>
      <c r="N19" s="39"/>
      <c r="O19" s="519"/>
      <c r="P19" s="518"/>
      <c r="Q19" s="518"/>
      <c r="R19" s="519"/>
      <c r="S19" s="519"/>
      <c r="T19" s="547"/>
      <c r="U19" s="519"/>
      <c r="V19" s="518"/>
      <c r="W19" s="519"/>
      <c r="X19" s="519"/>
      <c r="Y19" s="519"/>
      <c r="Z19" s="519"/>
      <c r="AA19" s="522"/>
      <c r="AB19" s="522"/>
      <c r="AC19" s="522"/>
      <c r="AD19" s="522"/>
      <c r="AE19" s="522"/>
      <c r="AF19" s="522"/>
      <c r="AG19" s="522"/>
      <c r="AH19" s="522"/>
      <c r="AI19" s="537"/>
      <c r="BM19">
        <v>14</v>
      </c>
    </row>
    <row r="20" ht="14.7" customHeight="1" spans="4:65">
      <c r="D20" s="665"/>
      <c r="E20" s="392"/>
      <c r="F20" s="392"/>
      <c r="G20" s="474"/>
      <c r="H20" s="509"/>
      <c r="I20" s="533"/>
      <c r="J20" s="518"/>
      <c r="K20" s="41"/>
      <c r="L20" s="519"/>
      <c r="M20" s="519"/>
      <c r="N20" s="39"/>
      <c r="O20" s="519"/>
      <c r="P20" s="518"/>
      <c r="Q20" s="518"/>
      <c r="R20" s="519"/>
      <c r="S20" s="519"/>
      <c r="T20" s="264"/>
      <c r="U20" s="548"/>
      <c r="V20" s="522"/>
      <c r="W20" s="522"/>
      <c r="X20" s="522"/>
      <c r="Y20" s="522"/>
      <c r="Z20" s="522"/>
      <c r="AA20" s="522"/>
      <c r="AB20" s="522"/>
      <c r="AC20" s="522"/>
      <c r="AD20" s="522"/>
      <c r="AE20" s="522"/>
      <c r="AF20" s="522"/>
      <c r="AG20" s="522"/>
      <c r="AH20" s="522"/>
      <c r="AI20" s="537"/>
      <c r="BM20">
        <v>14</v>
      </c>
    </row>
    <row r="21" ht="11.55" customHeight="1" spans="4:65">
      <c r="D21" s="665"/>
      <c r="E21" s="392"/>
      <c r="F21" s="392"/>
      <c r="G21" s="474"/>
      <c r="H21" s="510"/>
      <c r="I21" s="533"/>
      <c r="J21" s="518"/>
      <c r="K21" s="41"/>
      <c r="L21" s="519"/>
      <c r="M21" s="519"/>
      <c r="N21" s="522"/>
      <c r="O21" s="522"/>
      <c r="P21" s="522"/>
      <c r="Q21" s="522"/>
      <c r="R21" s="522"/>
      <c r="S21" s="522"/>
      <c r="T21" s="522"/>
      <c r="U21" s="522"/>
      <c r="V21" s="522"/>
      <c r="W21" s="522"/>
      <c r="X21" s="522"/>
      <c r="Y21" s="522"/>
      <c r="Z21" s="522"/>
      <c r="AA21" s="522"/>
      <c r="AB21" s="522"/>
      <c r="AC21" s="522"/>
      <c r="AD21" s="522"/>
      <c r="AE21" s="522"/>
      <c r="AF21" s="522"/>
      <c r="AG21" s="522"/>
      <c r="AH21" s="522"/>
      <c r="AI21" s="537"/>
      <c r="BM21">
        <v>11</v>
      </c>
    </row>
    <row r="22" s="209" customFormat="1" ht="11.55" customHeight="1" spans="4:65">
      <c r="D22" s="838"/>
      <c r="E22" s="550"/>
      <c r="F22" s="1248"/>
      <c r="G22" s="477"/>
      <c r="H22" s="512"/>
      <c r="I22" s="534"/>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39"/>
      <c r="AJ22"/>
      <c r="AK22" s="113"/>
      <c r="AL22"/>
      <c r="AM22"/>
      <c r="AN22"/>
      <c r="AO22"/>
      <c r="AP22"/>
      <c r="AQ22"/>
      <c r="AR22"/>
      <c r="AS22"/>
      <c r="AT22"/>
      <c r="AU22"/>
      <c r="AV22"/>
      <c r="AW22"/>
      <c r="AX22"/>
      <c r="AY22"/>
      <c r="AZ22"/>
      <c r="BA22"/>
      <c r="BB22"/>
      <c r="BC22"/>
      <c r="BD22"/>
      <c r="BE22"/>
      <c r="BF22"/>
      <c r="BG22"/>
      <c r="BH22"/>
      <c r="BI22"/>
      <c r="BJ22"/>
      <c r="BK22"/>
      <c r="BL22"/>
      <c r="BM22" s="209">
        <v>11</v>
      </c>
    </row>
    <row r="23" ht="15" customHeight="1" spans="4:65">
      <c r="D23" s="665" t="s">
        <v>91</v>
      </c>
      <c r="E23" s="392" t="s">
        <v>298</v>
      </c>
      <c r="F23" s="392" t="s">
        <v>301</v>
      </c>
      <c r="G23" s="472" t="s">
        <v>19</v>
      </c>
      <c r="H23" s="508"/>
      <c r="I23" s="531"/>
      <c r="J23" s="514"/>
      <c r="K23" s="514"/>
      <c r="L23" s="515"/>
      <c r="M23" s="515"/>
      <c r="N23" s="532"/>
      <c r="O23" s="515"/>
      <c r="P23" s="514"/>
      <c r="Q23" s="514"/>
      <c r="R23" s="515"/>
      <c r="S23" s="515"/>
      <c r="T23" s="546"/>
      <c r="U23" s="515"/>
      <c r="V23" s="514"/>
      <c r="W23" s="515"/>
      <c r="X23" s="515"/>
      <c r="Y23" s="515"/>
      <c r="Z23" s="532"/>
      <c r="AA23" s="515"/>
      <c r="AB23" s="514"/>
      <c r="AC23" s="554"/>
      <c r="AD23" s="515"/>
      <c r="AE23" s="515"/>
      <c r="AF23" s="515"/>
      <c r="AG23" s="515"/>
      <c r="AH23" s="532"/>
      <c r="AI23" s="536"/>
      <c r="AK23" s="113" t="s">
        <v>99</v>
      </c>
      <c r="BM23">
        <v>14</v>
      </c>
    </row>
    <row r="24" ht="14.7" customHeight="1" spans="4:65">
      <c r="D24" s="665"/>
      <c r="E24" s="392"/>
      <c r="F24" s="392"/>
      <c r="G24" s="474"/>
      <c r="H24" s="509"/>
      <c r="I24" s="533"/>
      <c r="J24" s="518"/>
      <c r="K24" s="41"/>
      <c r="L24" s="519"/>
      <c r="M24" s="519"/>
      <c r="N24" s="39"/>
      <c r="O24" s="519"/>
      <c r="P24" s="518"/>
      <c r="Q24" s="518"/>
      <c r="R24" s="519"/>
      <c r="S24" s="519"/>
      <c r="T24" s="547"/>
      <c r="U24" s="519"/>
      <c r="V24" s="518"/>
      <c r="W24" s="519"/>
      <c r="X24" s="519"/>
      <c r="Y24" s="519"/>
      <c r="Z24" s="39"/>
      <c r="AA24" s="519"/>
      <c r="AB24" s="518"/>
      <c r="AC24" s="41"/>
      <c r="AD24" s="519"/>
      <c r="AE24" s="519"/>
      <c r="AF24" s="522"/>
      <c r="AG24" s="522"/>
      <c r="AH24" s="522"/>
      <c r="AI24" s="537"/>
      <c r="BM24">
        <v>14</v>
      </c>
    </row>
    <row r="25" ht="14.7" customHeight="1" spans="4:65">
      <c r="D25" s="665"/>
      <c r="E25" s="392"/>
      <c r="F25" s="392"/>
      <c r="G25" s="474"/>
      <c r="H25" s="509"/>
      <c r="I25" s="533"/>
      <c r="J25" s="518"/>
      <c r="K25" s="41"/>
      <c r="L25" s="519"/>
      <c r="M25" s="519"/>
      <c r="N25" s="39"/>
      <c r="O25" s="519"/>
      <c r="P25" s="518"/>
      <c r="Q25" s="518"/>
      <c r="R25" s="519"/>
      <c r="S25" s="519"/>
      <c r="T25" s="547"/>
      <c r="U25" s="519"/>
      <c r="V25" s="518"/>
      <c r="W25" s="519"/>
      <c r="X25" s="519"/>
      <c r="Y25" s="519"/>
      <c r="Z25" s="519"/>
      <c r="AA25" s="522"/>
      <c r="AB25" s="522"/>
      <c r="AC25" s="522"/>
      <c r="AD25" s="522"/>
      <c r="AE25" s="522"/>
      <c r="AF25" s="522"/>
      <c r="AG25" s="522"/>
      <c r="AH25" s="522"/>
      <c r="AI25" s="537"/>
      <c r="BM25">
        <v>14</v>
      </c>
    </row>
    <row r="26" ht="14.7" customHeight="1" spans="4:65">
      <c r="D26" s="665"/>
      <c r="E26" s="392"/>
      <c r="F26" s="392"/>
      <c r="G26" s="474"/>
      <c r="H26" s="509"/>
      <c r="I26" s="533"/>
      <c r="J26" s="518"/>
      <c r="K26" s="41"/>
      <c r="L26" s="519"/>
      <c r="M26" s="519"/>
      <c r="N26" s="39"/>
      <c r="O26" s="519"/>
      <c r="P26" s="518"/>
      <c r="Q26" s="518"/>
      <c r="R26" s="519"/>
      <c r="S26" s="519"/>
      <c r="T26" s="264"/>
      <c r="U26" s="548"/>
      <c r="V26" s="522"/>
      <c r="W26" s="522"/>
      <c r="X26" s="522"/>
      <c r="Y26" s="522"/>
      <c r="Z26" s="522"/>
      <c r="AA26" s="522"/>
      <c r="AB26" s="522"/>
      <c r="AC26" s="522"/>
      <c r="AD26" s="522"/>
      <c r="AE26" s="522"/>
      <c r="AF26" s="522"/>
      <c r="AG26" s="522"/>
      <c r="AH26" s="522"/>
      <c r="AI26" s="537"/>
      <c r="BM26">
        <v>14</v>
      </c>
    </row>
    <row r="27" ht="11.55" customHeight="1" spans="4:65">
      <c r="D27" s="665"/>
      <c r="E27" s="392"/>
      <c r="F27" s="392"/>
      <c r="G27" s="474"/>
      <c r="H27" s="510"/>
      <c r="I27" s="533"/>
      <c r="J27" s="518"/>
      <c r="K27" s="41"/>
      <c r="L27" s="519"/>
      <c r="M27" s="519"/>
      <c r="N27" s="522"/>
      <c r="O27" s="522"/>
      <c r="P27" s="522"/>
      <c r="Q27" s="522"/>
      <c r="R27" s="522"/>
      <c r="S27" s="522"/>
      <c r="T27" s="522"/>
      <c r="U27" s="522"/>
      <c r="V27" s="522"/>
      <c r="W27" s="522"/>
      <c r="X27" s="522"/>
      <c r="Y27" s="522"/>
      <c r="Z27" s="522"/>
      <c r="AA27" s="522"/>
      <c r="AB27" s="522"/>
      <c r="AC27" s="522"/>
      <c r="AD27" s="522"/>
      <c r="AE27" s="522"/>
      <c r="AF27" s="522"/>
      <c r="AG27" s="522"/>
      <c r="AH27" s="522"/>
      <c r="AI27" s="537"/>
      <c r="BM27">
        <v>11</v>
      </c>
    </row>
    <row r="28" s="209" customFormat="1" ht="11.55" customHeight="1" spans="4:65">
      <c r="D28" s="838"/>
      <c r="E28" s="550"/>
      <c r="F28" s="1248"/>
      <c r="G28" s="477"/>
      <c r="H28" s="512"/>
      <c r="I28" s="534"/>
      <c r="J28" s="523"/>
      <c r="K28" s="523"/>
      <c r="L28" s="523"/>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39"/>
      <c r="AJ28"/>
      <c r="AK28" s="113"/>
      <c r="AL28"/>
      <c r="AM28"/>
      <c r="AN28"/>
      <c r="AO28"/>
      <c r="AP28"/>
      <c r="AQ28"/>
      <c r="AR28"/>
      <c r="AS28"/>
      <c r="AT28"/>
      <c r="AU28"/>
      <c r="AV28"/>
      <c r="AW28"/>
      <c r="AX28"/>
      <c r="AY28"/>
      <c r="AZ28"/>
      <c r="BA28"/>
      <c r="BB28"/>
      <c r="BC28"/>
      <c r="BD28"/>
      <c r="BE28"/>
      <c r="BF28"/>
      <c r="BG28"/>
      <c r="BH28"/>
      <c r="BI28"/>
      <c r="BJ28"/>
      <c r="BK28"/>
      <c r="BL28"/>
      <c r="BM28" s="209">
        <v>11</v>
      </c>
    </row>
    <row r="29" ht="15" customHeight="1" spans="4:65">
      <c r="D29" s="665" t="s">
        <v>92</v>
      </c>
      <c r="E29" s="392" t="s">
        <v>298</v>
      </c>
      <c r="F29" s="392" t="s">
        <v>302</v>
      </c>
      <c r="G29" s="472" t="s">
        <v>19</v>
      </c>
      <c r="H29" s="508"/>
      <c r="I29" s="531"/>
      <c r="J29" s="514"/>
      <c r="K29" s="514"/>
      <c r="L29" s="515"/>
      <c r="M29" s="515"/>
      <c r="N29" s="532"/>
      <c r="O29" s="515"/>
      <c r="P29" s="514"/>
      <c r="Q29" s="514"/>
      <c r="R29" s="515"/>
      <c r="S29" s="515"/>
      <c r="T29" s="546"/>
      <c r="U29" s="515"/>
      <c r="V29" s="514"/>
      <c r="W29" s="515"/>
      <c r="X29" s="515"/>
      <c r="Y29" s="515"/>
      <c r="Z29" s="532"/>
      <c r="AA29" s="515"/>
      <c r="AB29" s="514"/>
      <c r="AC29" s="554"/>
      <c r="AD29" s="515"/>
      <c r="AE29" s="515"/>
      <c r="AF29" s="515"/>
      <c r="AG29" s="515"/>
      <c r="AH29" s="532"/>
      <c r="AI29" s="536"/>
      <c r="BM29">
        <v>14</v>
      </c>
    </row>
    <row r="30" ht="14.7" customHeight="1" spans="4:65">
      <c r="D30" s="665"/>
      <c r="E30" s="392"/>
      <c r="F30" s="392"/>
      <c r="G30" s="474"/>
      <c r="H30" s="509"/>
      <c r="I30" s="533"/>
      <c r="J30" s="518"/>
      <c r="K30" s="41"/>
      <c r="L30" s="519"/>
      <c r="M30" s="519"/>
      <c r="N30" s="39"/>
      <c r="O30" s="519"/>
      <c r="P30" s="518"/>
      <c r="Q30" s="518"/>
      <c r="R30" s="519"/>
      <c r="S30" s="519"/>
      <c r="T30" s="547"/>
      <c r="U30" s="519"/>
      <c r="V30" s="518"/>
      <c r="W30" s="519"/>
      <c r="X30" s="519"/>
      <c r="Y30" s="519"/>
      <c r="Z30" s="39"/>
      <c r="AA30" s="519"/>
      <c r="AB30" s="518"/>
      <c r="AC30" s="41"/>
      <c r="AD30" s="519"/>
      <c r="AE30" s="519"/>
      <c r="AF30" s="522"/>
      <c r="AG30" s="522"/>
      <c r="AH30" s="522"/>
      <c r="AI30" s="537"/>
      <c r="BM30">
        <v>14</v>
      </c>
    </row>
    <row r="31" ht="14.7" customHeight="1" spans="4:65">
      <c r="D31" s="665"/>
      <c r="E31" s="392"/>
      <c r="F31" s="392"/>
      <c r="G31" s="474"/>
      <c r="H31" s="509"/>
      <c r="I31" s="533"/>
      <c r="J31" s="518"/>
      <c r="K31" s="41"/>
      <c r="L31" s="519"/>
      <c r="M31" s="519"/>
      <c r="N31" s="39"/>
      <c r="O31" s="519"/>
      <c r="P31" s="518"/>
      <c r="Q31" s="518"/>
      <c r="R31" s="519"/>
      <c r="S31" s="519"/>
      <c r="T31" s="547"/>
      <c r="U31" s="519"/>
      <c r="V31" s="518"/>
      <c r="W31" s="519"/>
      <c r="X31" s="519"/>
      <c r="Y31" s="519"/>
      <c r="Z31" s="519"/>
      <c r="AA31" s="522"/>
      <c r="AB31" s="522"/>
      <c r="AC31" s="522"/>
      <c r="AD31" s="522"/>
      <c r="AE31" s="522"/>
      <c r="AF31" s="522"/>
      <c r="AG31" s="522"/>
      <c r="AH31" s="522"/>
      <c r="AI31" s="537"/>
      <c r="BM31">
        <v>14</v>
      </c>
    </row>
    <row r="32" ht="14.7" customHeight="1" spans="4:65">
      <c r="D32" s="665"/>
      <c r="E32" s="392"/>
      <c r="F32" s="392"/>
      <c r="G32" s="474"/>
      <c r="H32" s="509"/>
      <c r="I32" s="533"/>
      <c r="J32" s="518"/>
      <c r="K32" s="41"/>
      <c r="L32" s="519"/>
      <c r="M32" s="519"/>
      <c r="N32" s="39"/>
      <c r="O32" s="519"/>
      <c r="P32" s="518"/>
      <c r="Q32" s="518"/>
      <c r="R32" s="519"/>
      <c r="S32" s="519"/>
      <c r="T32" s="264"/>
      <c r="U32" s="548"/>
      <c r="V32" s="522"/>
      <c r="W32" s="522"/>
      <c r="X32" s="522"/>
      <c r="Y32" s="522"/>
      <c r="Z32" s="522"/>
      <c r="AA32" s="522"/>
      <c r="AB32" s="522"/>
      <c r="AC32" s="522"/>
      <c r="AD32" s="522"/>
      <c r="AE32" s="522"/>
      <c r="AF32" s="522"/>
      <c r="AG32" s="522"/>
      <c r="AH32" s="522"/>
      <c r="AI32" s="537"/>
      <c r="BM32">
        <v>14</v>
      </c>
    </row>
    <row r="33" ht="11.55" customHeight="1" spans="4:65">
      <c r="D33" s="665"/>
      <c r="E33" s="392"/>
      <c r="F33" s="392"/>
      <c r="G33" s="474"/>
      <c r="H33" s="510"/>
      <c r="I33" s="533"/>
      <c r="J33" s="518"/>
      <c r="K33" s="41"/>
      <c r="L33" s="519"/>
      <c r="M33" s="519"/>
      <c r="N33" s="522"/>
      <c r="O33" s="522"/>
      <c r="P33" s="522"/>
      <c r="Q33" s="522"/>
      <c r="R33" s="522"/>
      <c r="S33" s="522"/>
      <c r="T33" s="522"/>
      <c r="U33" s="522"/>
      <c r="V33" s="522"/>
      <c r="W33" s="522"/>
      <c r="X33" s="522"/>
      <c r="Y33" s="522"/>
      <c r="Z33" s="522"/>
      <c r="AA33" s="522"/>
      <c r="AB33" s="522"/>
      <c r="AC33" s="522"/>
      <c r="AD33" s="522"/>
      <c r="AE33" s="522"/>
      <c r="AF33" s="522"/>
      <c r="AG33" s="522"/>
      <c r="AH33" s="522"/>
      <c r="AI33" s="537"/>
      <c r="BM33">
        <v>11</v>
      </c>
    </row>
    <row r="34" s="209" customFormat="1" ht="11.55" customHeight="1" spans="4:65">
      <c r="D34" s="838"/>
      <c r="E34" s="550"/>
      <c r="F34" s="1248"/>
      <c r="G34" s="477"/>
      <c r="H34" s="512"/>
      <c r="I34" s="534"/>
      <c r="J34" s="523"/>
      <c r="K34" s="523"/>
      <c r="L34" s="523"/>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39"/>
      <c r="AJ34"/>
      <c r="AK34" s="113"/>
      <c r="AL34"/>
      <c r="AM34"/>
      <c r="AN34"/>
      <c r="AO34"/>
      <c r="AP34"/>
      <c r="AQ34"/>
      <c r="AR34"/>
      <c r="AS34"/>
      <c r="AT34"/>
      <c r="AU34"/>
      <c r="AV34"/>
      <c r="AW34"/>
      <c r="AX34"/>
      <c r="AY34"/>
      <c r="AZ34"/>
      <c r="BA34"/>
      <c r="BB34"/>
      <c r="BC34"/>
      <c r="BD34"/>
      <c r="BE34"/>
      <c r="BF34"/>
      <c r="BG34"/>
      <c r="BH34"/>
      <c r="BI34"/>
      <c r="BJ34"/>
      <c r="BK34"/>
      <c r="BL34"/>
      <c r="BM34" s="209">
        <v>11</v>
      </c>
    </row>
    <row r="35" ht="15" customHeight="1" spans="4:65">
      <c r="D35" s="665" t="s">
        <v>113</v>
      </c>
      <c r="E35" s="392" t="s">
        <v>298</v>
      </c>
      <c r="F35" s="392" t="s">
        <v>303</v>
      </c>
      <c r="G35" s="472" t="s">
        <v>19</v>
      </c>
      <c r="H35" s="508"/>
      <c r="I35" s="531"/>
      <c r="J35" s="514"/>
      <c r="K35" s="514"/>
      <c r="L35" s="515"/>
      <c r="M35" s="515"/>
      <c r="N35" s="532"/>
      <c r="O35" s="515"/>
      <c r="P35" s="514"/>
      <c r="Q35" s="514"/>
      <c r="R35" s="515"/>
      <c r="S35" s="515"/>
      <c r="T35" s="546"/>
      <c r="U35" s="515"/>
      <c r="V35" s="514"/>
      <c r="W35" s="515"/>
      <c r="X35" s="515"/>
      <c r="Y35" s="515"/>
      <c r="Z35" s="532"/>
      <c r="AA35" s="515"/>
      <c r="AB35" s="514"/>
      <c r="AC35" s="554"/>
      <c r="AD35" s="515"/>
      <c r="AE35" s="515"/>
      <c r="AF35" s="515"/>
      <c r="AG35" s="515"/>
      <c r="AH35" s="532"/>
      <c r="AI35" s="536"/>
      <c r="BM35">
        <v>14</v>
      </c>
    </row>
    <row r="36" ht="14.7" customHeight="1" spans="4:65">
      <c r="D36" s="665"/>
      <c r="E36" s="392"/>
      <c r="F36" s="392"/>
      <c r="G36" s="474"/>
      <c r="H36" s="509"/>
      <c r="I36" s="533"/>
      <c r="J36" s="518"/>
      <c r="K36" s="41"/>
      <c r="L36" s="519"/>
      <c r="M36" s="519"/>
      <c r="N36" s="39"/>
      <c r="O36" s="519"/>
      <c r="P36" s="518"/>
      <c r="Q36" s="518"/>
      <c r="R36" s="519"/>
      <c r="S36" s="519"/>
      <c r="T36" s="547"/>
      <c r="U36" s="519"/>
      <c r="V36" s="518"/>
      <c r="W36" s="519"/>
      <c r="X36" s="519"/>
      <c r="Y36" s="519"/>
      <c r="Z36" s="39"/>
      <c r="AA36" s="519"/>
      <c r="AB36" s="518"/>
      <c r="AC36" s="41"/>
      <c r="AD36" s="519"/>
      <c r="AE36" s="519"/>
      <c r="AF36" s="522"/>
      <c r="AG36" s="522"/>
      <c r="AH36" s="522"/>
      <c r="AI36" s="537"/>
      <c r="BM36">
        <v>14</v>
      </c>
    </row>
    <row r="37" ht="14.7" customHeight="1" spans="4:65">
      <c r="D37" s="665"/>
      <c r="E37" s="392"/>
      <c r="F37" s="392"/>
      <c r="G37" s="474"/>
      <c r="H37" s="509"/>
      <c r="I37" s="533"/>
      <c r="J37" s="518"/>
      <c r="K37" s="41"/>
      <c r="L37" s="519"/>
      <c r="M37" s="519"/>
      <c r="N37" s="39"/>
      <c r="O37" s="519"/>
      <c r="P37" s="518"/>
      <c r="Q37" s="518"/>
      <c r="R37" s="519"/>
      <c r="S37" s="519"/>
      <c r="T37" s="547"/>
      <c r="U37" s="519"/>
      <c r="V37" s="518"/>
      <c r="W37" s="519"/>
      <c r="X37" s="519"/>
      <c r="Y37" s="519"/>
      <c r="Z37" s="519"/>
      <c r="AA37" s="522"/>
      <c r="AB37" s="522"/>
      <c r="AC37" s="522"/>
      <c r="AD37" s="522"/>
      <c r="AE37" s="522"/>
      <c r="AF37" s="522"/>
      <c r="AG37" s="522"/>
      <c r="AH37" s="522"/>
      <c r="AI37" s="537"/>
      <c r="BM37">
        <v>14</v>
      </c>
    </row>
    <row r="38" ht="14.7" customHeight="1" spans="4:65">
      <c r="D38" s="665"/>
      <c r="E38" s="392"/>
      <c r="F38" s="392"/>
      <c r="G38" s="474"/>
      <c r="H38" s="509"/>
      <c r="I38" s="533"/>
      <c r="J38" s="518"/>
      <c r="K38" s="41"/>
      <c r="L38" s="519"/>
      <c r="M38" s="519"/>
      <c r="N38" s="39"/>
      <c r="O38" s="519"/>
      <c r="P38" s="518"/>
      <c r="Q38" s="518"/>
      <c r="R38" s="519"/>
      <c r="S38" s="519"/>
      <c r="T38" s="264"/>
      <c r="U38" s="548"/>
      <c r="V38" s="522"/>
      <c r="W38" s="522"/>
      <c r="X38" s="522"/>
      <c r="Y38" s="522"/>
      <c r="Z38" s="522"/>
      <c r="AA38" s="522"/>
      <c r="AB38" s="522"/>
      <c r="AC38" s="522"/>
      <c r="AD38" s="522"/>
      <c r="AE38" s="522"/>
      <c r="AF38" s="522"/>
      <c r="AG38" s="522"/>
      <c r="AH38" s="522"/>
      <c r="AI38" s="537"/>
      <c r="BM38">
        <v>14</v>
      </c>
    </row>
    <row r="39" ht="11.55" customHeight="1" spans="4:65">
      <c r="D39" s="665"/>
      <c r="E39" s="392"/>
      <c r="F39" s="392"/>
      <c r="G39" s="474"/>
      <c r="H39" s="510"/>
      <c r="I39" s="533"/>
      <c r="J39" s="518"/>
      <c r="K39" s="41"/>
      <c r="L39" s="519"/>
      <c r="M39" s="519"/>
      <c r="N39" s="522"/>
      <c r="O39" s="522"/>
      <c r="P39" s="522"/>
      <c r="Q39" s="522"/>
      <c r="R39" s="522"/>
      <c r="S39" s="522"/>
      <c r="T39" s="522"/>
      <c r="U39" s="522"/>
      <c r="V39" s="522"/>
      <c r="W39" s="522"/>
      <c r="X39" s="522"/>
      <c r="Y39" s="522"/>
      <c r="Z39" s="522"/>
      <c r="AA39" s="522"/>
      <c r="AB39" s="522"/>
      <c r="AC39" s="522"/>
      <c r="AD39" s="522"/>
      <c r="AE39" s="522"/>
      <c r="AF39" s="522"/>
      <c r="AG39" s="522"/>
      <c r="AH39" s="522"/>
      <c r="AI39" s="537"/>
      <c r="BM39">
        <v>11</v>
      </c>
    </row>
    <row r="40" s="209" customFormat="1" ht="11.55" customHeight="1" spans="4:65">
      <c r="D40" s="665"/>
      <c r="E40" s="392"/>
      <c r="F40" s="511"/>
      <c r="G40" s="477"/>
      <c r="H40" s="512"/>
      <c r="I40" s="534"/>
      <c r="J40" s="523"/>
      <c r="K40" s="523"/>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39"/>
      <c r="AJ40"/>
      <c r="AK40" s="113"/>
      <c r="AL40"/>
      <c r="AM40"/>
      <c r="AN40"/>
      <c r="AO40"/>
      <c r="AP40"/>
      <c r="AQ40"/>
      <c r="AR40"/>
      <c r="AS40"/>
      <c r="AT40"/>
      <c r="AU40"/>
      <c r="AV40"/>
      <c r="AW40"/>
      <c r="AX40"/>
      <c r="AY40"/>
      <c r="AZ40"/>
      <c r="BA40"/>
      <c r="BB40"/>
      <c r="BC40"/>
      <c r="BD40"/>
      <c r="BE40"/>
      <c r="BF40"/>
      <c r="BG40"/>
      <c r="BH40"/>
      <c r="BI40"/>
      <c r="BJ40"/>
      <c r="BK40"/>
      <c r="BL40"/>
      <c r="BM40" s="209">
        <v>11</v>
      </c>
    </row>
    <row r="41" ht="11.55" customHeight="1" spans="37:65">
      <c r="AK41"/>
      <c r="BM41">
        <v>11</v>
      </c>
    </row>
    <row r="42" ht="11.55" customHeight="1" spans="37:65">
      <c r="AK42"/>
      <c r="BM42">
        <v>11</v>
      </c>
    </row>
    <row r="43" ht="11.55" customHeight="1" spans="37:65">
      <c r="AK43"/>
      <c r="BM43">
        <v>11</v>
      </c>
    </row>
    <row r="44" ht="11.55" customHeight="1" spans="37:65">
      <c r="AK44"/>
      <c r="BM44">
        <v>11</v>
      </c>
    </row>
    <row r="45" ht="11.55" customHeight="1" spans="37:65">
      <c r="AK45"/>
      <c r="BM45">
        <v>11</v>
      </c>
    </row>
    <row r="46" ht="11.55" customHeight="1" spans="37:65">
      <c r="AK46"/>
      <c r="BM46">
        <v>11</v>
      </c>
    </row>
    <row r="47" ht="11.55" customHeight="1" spans="37:65">
      <c r="AK47"/>
      <c r="BM47">
        <v>11</v>
      </c>
    </row>
    <row r="48" ht="11.55" customHeight="1" spans="37:65">
      <c r="AK48"/>
      <c r="BM48">
        <v>11</v>
      </c>
    </row>
    <row r="49" ht="11.55" customHeight="1" spans="37:65">
      <c r="AK49"/>
      <c r="BM49">
        <v>11</v>
      </c>
    </row>
    <row r="50" hidden="1" customHeight="1" spans="1:65">
      <c r="A50" t="s">
        <v>83</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113">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5:J5"/>
    <mergeCell ref="F8:G8"/>
    <mergeCell ref="L8:P8"/>
    <mergeCell ref="R8:V8"/>
    <mergeCell ref="X8:AB8"/>
    <mergeCell ref="AD8:AH8"/>
    <mergeCell ref="L9:M9"/>
    <mergeCell ref="R9:S9"/>
    <mergeCell ref="X9:Y9"/>
    <mergeCell ref="AD9:AE9"/>
    <mergeCell ref="AH12:AI12"/>
    <mergeCell ref="AB13:AI13"/>
    <mergeCell ref="V14:AI14"/>
    <mergeCell ref="P15:AI15"/>
    <mergeCell ref="J16:AI16"/>
    <mergeCell ref="AH18:AI18"/>
    <mergeCell ref="AB19:AI19"/>
    <mergeCell ref="V20:AI20"/>
    <mergeCell ref="P21:AI21"/>
    <mergeCell ref="J22:AI22"/>
    <mergeCell ref="AH24:AI24"/>
    <mergeCell ref="AB25:AI25"/>
    <mergeCell ref="V26:AI26"/>
    <mergeCell ref="P27:AI27"/>
    <mergeCell ref="J28:AI28"/>
    <mergeCell ref="AH30:AI30"/>
    <mergeCell ref="AB31:AI31"/>
    <mergeCell ref="V32:AI32"/>
    <mergeCell ref="P33:AI33"/>
    <mergeCell ref="J34:AI34"/>
    <mergeCell ref="AH36:AI36"/>
    <mergeCell ref="AB37:AI37"/>
    <mergeCell ref="V38:AI38"/>
    <mergeCell ref="P39:AI39"/>
    <mergeCell ref="J40:AI40"/>
    <mergeCell ref="D8:D10"/>
    <mergeCell ref="D11:D16"/>
    <mergeCell ref="D17:D22"/>
    <mergeCell ref="D23:D28"/>
    <mergeCell ref="D29:D34"/>
    <mergeCell ref="D35:D40"/>
    <mergeCell ref="E8:E10"/>
    <mergeCell ref="E11:E16"/>
    <mergeCell ref="E17:E22"/>
    <mergeCell ref="E23:E28"/>
    <mergeCell ref="E29:E34"/>
    <mergeCell ref="E35:E40"/>
    <mergeCell ref="F9:F10"/>
    <mergeCell ref="F11:F16"/>
    <mergeCell ref="F17:F22"/>
    <mergeCell ref="F23:F28"/>
    <mergeCell ref="F29:F34"/>
    <mergeCell ref="F35:F40"/>
    <mergeCell ref="G9:G10"/>
    <mergeCell ref="G11:G16"/>
    <mergeCell ref="G17:G22"/>
    <mergeCell ref="G23:G28"/>
    <mergeCell ref="G29:G34"/>
    <mergeCell ref="G35:G40"/>
    <mergeCell ref="I11:I15"/>
    <mergeCell ref="I17:I21"/>
    <mergeCell ref="I23:I27"/>
    <mergeCell ref="I29:I33"/>
    <mergeCell ref="I35:I39"/>
    <mergeCell ref="J8:J10"/>
    <mergeCell ref="J11:J15"/>
    <mergeCell ref="J17:J21"/>
    <mergeCell ref="J23:J27"/>
    <mergeCell ref="J29:J33"/>
    <mergeCell ref="J35:J39"/>
    <mergeCell ref="L11:L15"/>
    <mergeCell ref="L17:L21"/>
    <mergeCell ref="L23:L27"/>
    <mergeCell ref="L29:L33"/>
    <mergeCell ref="L35:L39"/>
    <mergeCell ref="M11:M15"/>
    <mergeCell ref="M17:M21"/>
    <mergeCell ref="M23:M27"/>
    <mergeCell ref="M29:M33"/>
    <mergeCell ref="M35:M39"/>
    <mergeCell ref="O11:O14"/>
    <mergeCell ref="O17:O20"/>
    <mergeCell ref="O23:O26"/>
    <mergeCell ref="O29:O32"/>
    <mergeCell ref="O35:O38"/>
    <mergeCell ref="P9:P10"/>
    <mergeCell ref="P11:P14"/>
    <mergeCell ref="P17:P20"/>
    <mergeCell ref="P23:P26"/>
    <mergeCell ref="P29:P32"/>
    <mergeCell ref="P35:P38"/>
    <mergeCell ref="R11:R14"/>
    <mergeCell ref="R17:R20"/>
    <mergeCell ref="R23:R26"/>
    <mergeCell ref="R29:R32"/>
    <mergeCell ref="R35:R38"/>
    <mergeCell ref="S11:S14"/>
    <mergeCell ref="S17:S20"/>
    <mergeCell ref="S23:S26"/>
    <mergeCell ref="S29:S32"/>
    <mergeCell ref="S35:S38"/>
    <mergeCell ref="U11:U13"/>
    <mergeCell ref="U17:U19"/>
    <mergeCell ref="U23:U25"/>
    <mergeCell ref="U29:U31"/>
    <mergeCell ref="U35:U37"/>
    <mergeCell ref="V9:V10"/>
    <mergeCell ref="V11:V13"/>
    <mergeCell ref="V17:V19"/>
    <mergeCell ref="V23:V25"/>
    <mergeCell ref="V29:V31"/>
    <mergeCell ref="V35:V37"/>
    <mergeCell ref="X11:X13"/>
    <mergeCell ref="X17:X19"/>
    <mergeCell ref="X23:X25"/>
    <mergeCell ref="X29:X31"/>
    <mergeCell ref="X35:X37"/>
    <mergeCell ref="Y11:Y13"/>
    <mergeCell ref="Y17:Y19"/>
    <mergeCell ref="Y23:Y25"/>
    <mergeCell ref="Y29:Y31"/>
    <mergeCell ref="Y35:Y37"/>
    <mergeCell ref="AA11:AA12"/>
    <mergeCell ref="AA17:AA18"/>
    <mergeCell ref="AA23:AA24"/>
    <mergeCell ref="AA29:AA30"/>
    <mergeCell ref="AA35:AA36"/>
    <mergeCell ref="AB9:AB10"/>
    <mergeCell ref="AB11:AB12"/>
    <mergeCell ref="AB17:AB18"/>
    <mergeCell ref="AB23:AB24"/>
    <mergeCell ref="AB29:AB30"/>
    <mergeCell ref="AB35:AB36"/>
    <mergeCell ref="AD11:AD12"/>
    <mergeCell ref="AD17:AD18"/>
    <mergeCell ref="AD23:AD24"/>
    <mergeCell ref="AD29:AD30"/>
    <mergeCell ref="AD35:AD36"/>
    <mergeCell ref="AE11:AE12"/>
    <mergeCell ref="AE17:AE18"/>
    <mergeCell ref="AE23:AE24"/>
    <mergeCell ref="AE29:AE30"/>
    <mergeCell ref="AE35:AE36"/>
    <mergeCell ref="AH9:AH10"/>
    <mergeCell ref="AI8:AI10"/>
    <mergeCell ref="N9:O10"/>
    <mergeCell ref="T9:U10"/>
    <mergeCell ref="Z9:AA10"/>
    <mergeCell ref="AF9:AG10"/>
    <mergeCell ref="H8:I10"/>
  </mergeCells>
  <dataValidations count="2">
    <dataValidation type="list" allowBlank="1" showInputMessage="1" errorTitle="Ошибка" error="Выберите значение из списка" prompt="Выберите значение из списка или укажите свой вид твердых коммунальных отходов" sqref="AC11 AC17 AC23 AC29 AC35" errorStyle="warning">
      <formula1>list_typeTKO</formula1>
    </dataValidation>
    <dataValidation type="textLength" operator="lessThanOrEqual" allowBlank="1" showInputMessage="1" showErrorMessage="1" errorTitle="Ошибка" error="Допускается ввод не более 900 символов!" sqref="AI11 AI17 AI23 AI29 AI35 J11:J15 J17:J21 J23:J27 J29:J33 J35:J39 P11:P14 P17:P20 P23:P26 P29:P32 P35:P38">
      <formula1>900</formula1>
    </dataValidation>
  </dataValidations>
  <pageMargins left="0.7" right="0.7" top="0.75" bottom="0.75" header="0.3" footer="0.3"/>
  <pageSetup paperSize="9" orientation="portrait"/>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CCFF"/>
  </sheetPr>
  <dimension ref="A1:F5"/>
  <sheetViews>
    <sheetView showGridLines="0" zoomScale="90" zoomScaleNormal="90" workbookViewId="0">
      <selection activeCell="A1" sqref="A1"/>
    </sheetView>
  </sheetViews>
  <sheetFormatPr defaultColWidth="9.14285714285714" defaultRowHeight="11.25" customHeight="1" outlineLevelRow="4" outlineLevelCol="5"/>
  <cols>
    <col min="1" max="1" width="1.71428571428571" customWidth="1"/>
    <col min="2" max="2" width="34.5714285714286" customWidth="1"/>
    <col min="3" max="3" width="85" customWidth="1"/>
    <col min="4" max="4" width="17" customWidth="1"/>
    <col min="5" max="5" width="8" customWidth="1"/>
    <col min="6" max="6" width="9.14285714285714" hidden="1"/>
  </cols>
  <sheetData>
    <row r="1" ht="3" customHeight="1" spans="6:6">
      <c r="F1" t="s">
        <v>14</v>
      </c>
    </row>
    <row r="2" ht="22.5" customHeight="1" spans="2:6">
      <c r="B2" s="556" t="s">
        <v>1918</v>
      </c>
      <c r="C2" s="556"/>
      <c r="D2" s="556"/>
      <c r="E2" s="557"/>
      <c r="F2">
        <v>22</v>
      </c>
    </row>
    <row r="3" ht="3" customHeight="1" spans="6:6">
      <c r="F3">
        <v>3</v>
      </c>
    </row>
    <row r="4" ht="23.25" customHeight="1" spans="2:6">
      <c r="B4" s="558" t="s">
        <v>1919</v>
      </c>
      <c r="C4" s="558" t="s">
        <v>1920</v>
      </c>
      <c r="D4" s="558" t="s">
        <v>1921</v>
      </c>
      <c r="F4">
        <v>22</v>
      </c>
    </row>
    <row r="5" hidden="1" customHeight="1" spans="1:6">
      <c r="A5" t="s">
        <v>83</v>
      </c>
      <c r="B5">
        <v>34</v>
      </c>
      <c r="C5">
        <v>85</v>
      </c>
      <c r="D5">
        <v>17</v>
      </c>
      <c r="E5">
        <v>8</v>
      </c>
      <c r="F5">
        <v>11</v>
      </c>
    </row>
  </sheetData>
  <sheetProtection formatColumns="0" formatRows="0" insertRows="0" deleteColumns="0" deleteRows="0" sort="0" autoFilter="0"/>
  <autoFilter xmlns:etc="http://www.wps.cn/officeDocument/2017/etCustomData" ref="B4:D5" etc:filterBottomFollowUsedRange="0">
    <extLst/>
  </autoFilter>
  <mergeCells count="1">
    <mergeCell ref="B2:D2"/>
  </mergeCells>
  <pageMargins left="0.7" right="0.7" top="0.75" bottom="0.75" header="0.3" footer="0.3"/>
  <pageSetup paperSize="1"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2:GB215"/>
  <sheetViews>
    <sheetView showGridLines="0" zoomScale="85" zoomScaleNormal="85" workbookViewId="0">
      <selection activeCell="A1" sqref="A1"/>
    </sheetView>
  </sheetViews>
  <sheetFormatPr defaultColWidth="9.14285714285714" defaultRowHeight="17.1" customHeight="1"/>
  <cols>
    <col min="1" max="1" width="26.5714285714286" customWidth="1"/>
    <col min="2"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61.2857142857143"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3" width="115.714285714286" customWidth="1"/>
    <col min="24" max="24" width="115.285714285714" customWidth="1"/>
    <col min="28" max="28" width="115.714285714286" customWidth="1"/>
    <col min="30" max="90" width="115.714285714286" customWidth="1"/>
  </cols>
  <sheetData>
    <row r="2" s="203" customFormat="1" ht="17.25" customHeight="1" spans="1:1">
      <c r="A2" s="203" t="s">
        <v>1922</v>
      </c>
    </row>
    <row r="4" s="204" customFormat="1" ht="15" customHeight="1" spans="3:5">
      <c r="C4" s="210"/>
      <c r="D4" s="211"/>
      <c r="E4" s="212"/>
    </row>
    <row r="6" s="203" customFormat="1" ht="17.25" customHeight="1" spans="1:1">
      <c r="A6" s="203" t="s">
        <v>1923</v>
      </c>
    </row>
    <row r="8" s="204" customFormat="1" ht="17.25" customHeight="1" spans="3:5">
      <c r="C8" s="213"/>
      <c r="D8" s="211"/>
      <c r="E8" s="214"/>
    </row>
    <row r="11" s="203" customFormat="1" ht="17.25" customHeight="1" spans="1:1">
      <c r="A11" s="203" t="s">
        <v>1924</v>
      </c>
    </row>
    <row r="13" s="205" customFormat="1" ht="15" customHeight="1" spans="1:19">
      <c r="A13" s="47">
        <v>1</v>
      </c>
      <c r="B13" s="37"/>
      <c r="C13" s="215" t="s">
        <v>521</v>
      </c>
      <c r="D13" s="216"/>
      <c r="E13" s="63">
        <f>A13</f>
        <v>1</v>
      </c>
      <c r="F13" s="217"/>
      <c r="G13" s="218" t="str">
        <f>"Территория "&amp;E13</f>
        <v>Территория 1</v>
      </c>
      <c r="H13" s="219"/>
      <c r="I13" s="219"/>
      <c r="J13" s="150"/>
      <c r="K13" s="150"/>
      <c r="L13" s="150"/>
      <c r="M13" s="150"/>
      <c r="N13" s="150"/>
      <c r="O13" s="150"/>
      <c r="P13" s="266"/>
      <c r="Q13" s="266"/>
      <c r="R13" s="266"/>
      <c r="S13" s="266"/>
    </row>
    <row r="14" customFormat="1" ht="15" customHeight="1" spans="1:80">
      <c r="A14" s="47"/>
      <c r="B14" s="37">
        <v>1</v>
      </c>
      <c r="C14" s="37"/>
      <c r="D14" s="220"/>
      <c r="E14" s="72" t="str">
        <f>A13&amp;"."&amp;B14</f>
        <v>1.1</v>
      </c>
      <c r="F14" s="221">
        <f>$F$20</f>
        <v>0</v>
      </c>
      <c r="G14" s="222"/>
      <c r="H14" s="222"/>
      <c r="I14" s="267"/>
      <c r="J14" s="150"/>
      <c r="K14" s="43"/>
      <c r="L14" s="43"/>
      <c r="M14" s="150" t="str">
        <f t="array" ref="M14">IF(ISERROR(MATCH(MID(N14,1,250),MID(note_ter,1,250),0)),"n","y")</f>
        <v>n</v>
      </c>
      <c r="N14" s="43"/>
      <c r="O14" s="150" t="str">
        <f>H14&amp;"("&amp;I14&amp;")"</f>
        <v>()</v>
      </c>
      <c r="P14" s="37"/>
      <c r="Q14" s="37"/>
      <c r="R14" s="287"/>
      <c r="S14" s="37"/>
      <c r="T14" s="37"/>
      <c r="U14" s="37"/>
      <c r="V14" s="263"/>
      <c r="W14" s="263"/>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263"/>
      <c r="BT14" s="263"/>
      <c r="BU14" s="263"/>
      <c r="BV14" s="263"/>
      <c r="BW14" s="263"/>
      <c r="BX14" s="263"/>
      <c r="BY14" s="263"/>
      <c r="BZ14" s="263"/>
      <c r="CA14" s="263"/>
      <c r="CB14" s="263"/>
    </row>
    <row r="15" customFormat="1" ht="15" customHeight="1" spans="1:80">
      <c r="A15" s="47"/>
      <c r="B15" s="37"/>
      <c r="C15" s="223"/>
      <c r="D15" s="215"/>
      <c r="E15" s="224"/>
      <c r="F15" s="225"/>
      <c r="G15" s="226" t="s">
        <v>104</v>
      </c>
      <c r="H15" s="227"/>
      <c r="I15" s="268"/>
      <c r="J15" s="43"/>
      <c r="K15" s="43"/>
      <c r="L15" s="43"/>
      <c r="M15" s="43"/>
      <c r="N15" s="150"/>
      <c r="O15" s="43"/>
      <c r="P15" s="37"/>
      <c r="Q15" s="37"/>
      <c r="R15" s="287"/>
      <c r="S15" s="37"/>
      <c r="T15" s="37"/>
      <c r="U15" s="37"/>
      <c r="V15" s="263"/>
      <c r="W15" s="263"/>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263"/>
      <c r="BT15" s="263"/>
      <c r="BU15" s="263"/>
      <c r="BV15" s="263"/>
      <c r="BW15" s="263"/>
      <c r="BX15" s="263"/>
      <c r="BY15" s="263"/>
      <c r="BZ15" s="263"/>
      <c r="CA15" s="263"/>
      <c r="CB15" s="263"/>
    </row>
    <row r="17" s="203" customFormat="1" ht="17.25" customHeight="1" spans="1:1">
      <c r="A17" s="203" t="s">
        <v>1925</v>
      </c>
    </row>
    <row r="19" customFormat="1" ht="15" customHeight="1" spans="1:80">
      <c r="A19" s="47"/>
      <c r="B19" s="37">
        <v>1</v>
      </c>
      <c r="C19" s="37"/>
      <c r="D19" s="220" t="s">
        <v>521</v>
      </c>
      <c r="E19" s="63"/>
      <c r="F19" s="228">
        <f>$F$20</f>
        <v>0</v>
      </c>
      <c r="G19" s="229"/>
      <c r="H19" s="229"/>
      <c r="I19" s="269"/>
      <c r="J19" s="150"/>
      <c r="K19" s="43"/>
      <c r="L19" s="43"/>
      <c r="M19" s="150" t="str">
        <f t="array" ref="M19">IF(ISERROR(MATCH(MID(N19,1,250),MID(note_ter,1,250),0)),"n","y")</f>
        <v>n</v>
      </c>
      <c r="N19" s="43"/>
      <c r="O19" s="150" t="str">
        <f>H19&amp;"("&amp;I19&amp;")"</f>
        <v>()</v>
      </c>
      <c r="P19" s="37"/>
      <c r="Q19" s="37"/>
      <c r="R19" s="287"/>
      <c r="S19" s="37"/>
      <c r="T19" s="37"/>
      <c r="U19" s="37"/>
      <c r="V19" s="263"/>
      <c r="W19" s="263"/>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c r="BM19" s="151"/>
      <c r="BN19" s="151"/>
      <c r="BO19" s="151"/>
      <c r="BP19" s="151"/>
      <c r="BQ19" s="151"/>
      <c r="BR19" s="151"/>
      <c r="BS19" s="263"/>
      <c r="BT19" s="263"/>
      <c r="BU19" s="263"/>
      <c r="BV19" s="263"/>
      <c r="BW19" s="263"/>
      <c r="BX19" s="263"/>
      <c r="BY19" s="263"/>
      <c r="BZ19" s="263"/>
      <c r="CA19" s="263"/>
      <c r="CB19" s="263"/>
    </row>
    <row r="21" customFormat="1" ht="15" customHeight="1" spans="1:23">
      <c r="A21" s="203" t="s">
        <v>1926</v>
      </c>
      <c r="B21" s="203"/>
      <c r="C21" s="203"/>
      <c r="D21" s="203"/>
      <c r="E21" s="203"/>
      <c r="F21" s="203"/>
      <c r="G21" s="203"/>
      <c r="H21" s="203"/>
      <c r="I21" s="203"/>
      <c r="J21" s="203"/>
      <c r="K21" s="203"/>
      <c r="L21" s="203"/>
      <c r="M21" s="203"/>
      <c r="N21" s="203"/>
      <c r="O21" s="203"/>
      <c r="P21" s="203"/>
      <c r="Q21" s="203"/>
      <c r="R21" s="203"/>
      <c r="S21" s="203"/>
      <c r="T21" s="203"/>
      <c r="U21" s="288"/>
      <c r="V21" s="203"/>
      <c r="W21" s="203"/>
    </row>
    <row r="22" customFormat="1" ht="15" customHeight="1" spans="21:21">
      <c r="U22" s="289"/>
    </row>
    <row r="23" s="35" customFormat="1" ht="15" customHeight="1" spans="1:38">
      <c r="A23"/>
      <c r="B23"/>
      <c r="C23" s="230" t="s">
        <v>521</v>
      </c>
      <c r="D23" s="231" t="s">
        <v>111</v>
      </c>
      <c r="E23" s="232"/>
      <c r="F23" s="139" t="s">
        <v>19</v>
      </c>
      <c r="G23" s="233"/>
      <c r="H23" s="63">
        <v>1</v>
      </c>
      <c r="I23" s="270" t="str">
        <f>IF(U23="","",INDEX(TERRITORY_MR_LIST,MATCH(U23,TERRITORY_LIST_ID,0)))</f>
        <v/>
      </c>
      <c r="J23" s="139" t="s">
        <v>19</v>
      </c>
      <c r="K23" s="271"/>
      <c r="L23" s="231" t="s">
        <v>111</v>
      </c>
      <c r="M23" s="272"/>
      <c r="N23" s="44"/>
      <c r="O23" s="44"/>
      <c r="P23" s="44"/>
      <c r="Q23" s="44"/>
      <c r="R23" s="44"/>
      <c r="S23" s="44"/>
      <c r="T23" s="44"/>
      <c r="U23" s="290"/>
      <c r="V23" s="44"/>
      <c r="W23" s="44"/>
      <c r="X23" s="44"/>
      <c r="Y23" s="44" t="s">
        <v>120</v>
      </c>
      <c r="Z23" s="44">
        <v>1705000</v>
      </c>
      <c r="AA23" s="44"/>
      <c r="AB23" s="44"/>
      <c r="AC23" s="44"/>
      <c r="AD23" s="44"/>
      <c r="AE23" s="44"/>
      <c r="AF23" s="44"/>
      <c r="AG23" s="44"/>
      <c r="AH23" s="44"/>
      <c r="AI23" s="44"/>
      <c r="AJ23" s="44"/>
      <c r="AK23" s="44"/>
      <c r="AL23" s="44"/>
    </row>
    <row r="24" s="35" customFormat="1" ht="15" customHeight="1" spans="1:38">
      <c r="A24"/>
      <c r="B24"/>
      <c r="C24" s="234"/>
      <c r="D24" s="231"/>
      <c r="E24" s="235"/>
      <c r="F24" s="139"/>
      <c r="G24" s="236"/>
      <c r="H24" s="63"/>
      <c r="I24" s="273"/>
      <c r="J24" s="139"/>
      <c r="K24" s="224"/>
      <c r="L24" s="225"/>
      <c r="M24" s="274" t="s">
        <v>121</v>
      </c>
      <c r="N24" s="44"/>
      <c r="O24" s="44"/>
      <c r="P24" s="44"/>
      <c r="Q24" s="44"/>
      <c r="R24" s="44"/>
      <c r="S24" s="44"/>
      <c r="T24" s="44"/>
      <c r="U24" s="290"/>
      <c r="V24" s="44"/>
      <c r="W24" s="44"/>
      <c r="X24" s="44"/>
      <c r="Y24" s="44"/>
      <c r="Z24" s="44"/>
      <c r="AA24" s="44"/>
      <c r="AB24" s="44"/>
      <c r="AC24" s="44"/>
      <c r="AD24" s="44"/>
      <c r="AE24" s="44"/>
      <c r="AF24" s="44"/>
      <c r="AG24" s="44"/>
      <c r="AH24" s="44"/>
      <c r="AI24" s="44"/>
      <c r="AJ24" s="44"/>
      <c r="AK24" s="44"/>
      <c r="AL24" s="44"/>
    </row>
    <row r="25" s="35" customFormat="1" ht="15" customHeight="1" spans="1:38">
      <c r="A25"/>
      <c r="B25"/>
      <c r="C25" s="234"/>
      <c r="D25" s="231"/>
      <c r="E25" s="237"/>
      <c r="F25" s="139"/>
      <c r="G25" s="224"/>
      <c r="H25" s="225"/>
      <c r="I25" s="226" t="s">
        <v>122</v>
      </c>
      <c r="J25" s="225"/>
      <c r="K25" s="225"/>
      <c r="L25" s="225"/>
      <c r="M25" s="275"/>
      <c r="N25" s="44"/>
      <c r="O25" s="44"/>
      <c r="P25" s="44"/>
      <c r="Q25" s="44"/>
      <c r="R25" s="44"/>
      <c r="S25" s="44"/>
      <c r="T25" s="44"/>
      <c r="U25" s="290"/>
      <c r="V25" s="44"/>
      <c r="W25" s="44"/>
      <c r="X25" s="44"/>
      <c r="Y25" s="44"/>
      <c r="Z25" s="44"/>
      <c r="AA25" s="44"/>
      <c r="AB25" s="44"/>
      <c r="AC25" s="44"/>
      <c r="AD25" s="44"/>
      <c r="AE25" s="44"/>
      <c r="AF25" s="44"/>
      <c r="AG25" s="44"/>
      <c r="AH25" s="44"/>
      <c r="AI25" s="44"/>
      <c r="AJ25" s="44"/>
      <c r="AK25" s="44"/>
      <c r="AL25" s="44"/>
    </row>
    <row r="26" customFormat="1" ht="15" customHeight="1" spans="21:21">
      <c r="U26" s="289"/>
    </row>
    <row r="27" customFormat="1" ht="15" customHeight="1" spans="1:23">
      <c r="A27" s="203" t="s">
        <v>1927</v>
      </c>
      <c r="B27" s="203"/>
      <c r="C27" s="203"/>
      <c r="D27" s="203"/>
      <c r="E27" s="203"/>
      <c r="F27" s="203"/>
      <c r="G27" s="203"/>
      <c r="H27" s="203"/>
      <c r="I27" s="203"/>
      <c r="J27" s="203"/>
      <c r="K27" s="203"/>
      <c r="L27" s="203"/>
      <c r="M27" s="203"/>
      <c r="N27" s="203"/>
      <c r="O27" s="203"/>
      <c r="P27" s="203"/>
      <c r="Q27" s="203"/>
      <c r="R27" s="203"/>
      <c r="S27" s="203"/>
      <c r="T27" s="203"/>
      <c r="U27" s="288"/>
      <c r="V27" s="203"/>
      <c r="W27" s="203"/>
    </row>
    <row r="28" customFormat="1" ht="15" customHeight="1" spans="21:21">
      <c r="U28" s="289"/>
    </row>
    <row r="29" s="35" customFormat="1" ht="15" customHeight="1" spans="1:38">
      <c r="A29"/>
      <c r="B29"/>
      <c r="C29" s="234"/>
      <c r="D29" s="21"/>
      <c r="E29" s="21"/>
      <c r="F29" s="21"/>
      <c r="G29" s="238" t="s">
        <v>521</v>
      </c>
      <c r="H29" s="126">
        <v>1</v>
      </c>
      <c r="I29" s="276" t="str">
        <f>IF(U29="","",INDEX(TERRITORY_MR_LIST,MATCH(U29,TERRITORY_LIST_ID,0)))</f>
        <v/>
      </c>
      <c r="J29" s="139" t="s">
        <v>19</v>
      </c>
      <c r="K29" s="271"/>
      <c r="L29" s="231" t="s">
        <v>111</v>
      </c>
      <c r="M29" s="272"/>
      <c r="N29" s="44"/>
      <c r="O29" s="44"/>
      <c r="P29" s="44"/>
      <c r="Q29" s="44"/>
      <c r="R29" s="44"/>
      <c r="S29" s="44"/>
      <c r="T29" s="44"/>
      <c r="U29" s="290"/>
      <c r="V29" s="44"/>
      <c r="W29" s="44"/>
      <c r="X29" s="44"/>
      <c r="Y29" s="44" t="s">
        <v>120</v>
      </c>
      <c r="Z29" s="44">
        <v>1705000</v>
      </c>
      <c r="AA29" s="44"/>
      <c r="AB29" s="44"/>
      <c r="AC29" s="44"/>
      <c r="AD29" s="44"/>
      <c r="AE29" s="44"/>
      <c r="AF29" s="44"/>
      <c r="AG29" s="44"/>
      <c r="AH29" s="44"/>
      <c r="AI29" s="44"/>
      <c r="AJ29" s="44"/>
      <c r="AK29" s="44"/>
      <c r="AL29" s="44"/>
    </row>
    <row r="30" s="35" customFormat="1" ht="15" customHeight="1" spans="1:38">
      <c r="A30"/>
      <c r="B30"/>
      <c r="C30" s="234"/>
      <c r="D30" s="21"/>
      <c r="E30" s="21"/>
      <c r="F30" s="21"/>
      <c r="G30" s="238"/>
      <c r="H30" s="126"/>
      <c r="I30" s="276"/>
      <c r="J30" s="139"/>
      <c r="K30" s="224"/>
      <c r="L30" s="225"/>
      <c r="M30" s="274" t="s">
        <v>121</v>
      </c>
      <c r="N30" s="44"/>
      <c r="O30" s="44"/>
      <c r="P30" s="44"/>
      <c r="Q30" s="44"/>
      <c r="R30" s="44"/>
      <c r="S30" s="44"/>
      <c r="T30" s="44"/>
      <c r="U30" s="290"/>
      <c r="V30" s="44"/>
      <c r="W30" s="44"/>
      <c r="X30" s="44"/>
      <c r="Y30" s="44"/>
      <c r="Z30" s="44"/>
      <c r="AA30" s="44"/>
      <c r="AB30" s="44"/>
      <c r="AC30" s="44"/>
      <c r="AD30" s="44"/>
      <c r="AE30" s="44"/>
      <c r="AF30" s="44"/>
      <c r="AG30" s="44"/>
      <c r="AH30" s="44"/>
      <c r="AI30" s="44"/>
      <c r="AJ30" s="44"/>
      <c r="AK30" s="44"/>
      <c r="AL30" s="44"/>
    </row>
    <row r="31" customFormat="1" ht="15" customHeight="1" spans="21:21">
      <c r="U31" s="289"/>
    </row>
    <row r="32" customFormat="1" ht="15" customHeight="1" spans="1:23">
      <c r="A32" s="203" t="s">
        <v>1928</v>
      </c>
      <c r="B32" s="203"/>
      <c r="C32" s="203"/>
      <c r="D32" s="203"/>
      <c r="E32" s="203"/>
      <c r="F32" s="203"/>
      <c r="G32" s="203"/>
      <c r="H32" s="203"/>
      <c r="I32" s="203"/>
      <c r="J32" s="203"/>
      <c r="K32" s="203"/>
      <c r="L32" s="203"/>
      <c r="M32" s="203"/>
      <c r="N32" s="203"/>
      <c r="O32" s="203"/>
      <c r="P32" s="203"/>
      <c r="Q32" s="203"/>
      <c r="R32" s="203"/>
      <c r="S32" s="203"/>
      <c r="T32" s="203"/>
      <c r="U32" s="288"/>
      <c r="V32" s="203"/>
      <c r="W32" s="203"/>
    </row>
    <row r="33" customFormat="1" ht="15" customHeight="1" spans="21:21">
      <c r="U33" s="289"/>
    </row>
    <row r="34" s="35" customFormat="1" ht="15" customHeight="1" spans="1:38">
      <c r="A34"/>
      <c r="B34"/>
      <c r="C34" s="234"/>
      <c r="D34" s="21"/>
      <c r="E34" s="21"/>
      <c r="F34" s="21"/>
      <c r="G34" s="21"/>
      <c r="H34" s="21"/>
      <c r="I34" s="21"/>
      <c r="J34" s="21"/>
      <c r="K34" s="238" t="s">
        <v>521</v>
      </c>
      <c r="L34" s="277" t="s">
        <v>111</v>
      </c>
      <c r="M34" s="278"/>
      <c r="N34" s="279"/>
      <c r="O34" s="44"/>
      <c r="P34" s="44"/>
      <c r="Q34" s="44"/>
      <c r="R34" s="44"/>
      <c r="S34" s="44"/>
      <c r="T34" s="44"/>
      <c r="U34" s="290"/>
      <c r="V34" s="44"/>
      <c r="W34" s="44"/>
      <c r="X34" s="44"/>
      <c r="Y34" s="44" t="s">
        <v>120</v>
      </c>
      <c r="Z34" s="44">
        <v>1705000</v>
      </c>
      <c r="AA34" s="44"/>
      <c r="AB34" s="44"/>
      <c r="AC34" s="44"/>
      <c r="AD34" s="44"/>
      <c r="AE34" s="44"/>
      <c r="AF34" s="44"/>
      <c r="AG34" s="44"/>
      <c r="AH34" s="44"/>
      <c r="AI34" s="44"/>
      <c r="AJ34" s="44"/>
      <c r="AK34" s="44"/>
      <c r="AL34" s="44"/>
    </row>
    <row r="35" customFormat="1" ht="15" customHeight="1" spans="21:21">
      <c r="U35" s="289"/>
    </row>
    <row r="36" customFormat="1" ht="15" customHeight="1" spans="21:21">
      <c r="U36" s="289"/>
    </row>
    <row r="37" s="203" customFormat="1" ht="11.25" customHeight="1" spans="1:1">
      <c r="A37" s="203" t="s">
        <v>1929</v>
      </c>
    </row>
    <row r="38" ht="11.25" customHeight="1"/>
    <row r="39" s="206" customFormat="1" ht="22.5" customHeight="1" spans="1:8">
      <c r="A39" s="239"/>
      <c r="B39" s="52"/>
      <c r="C39" s="240"/>
      <c r="D39" s="241"/>
      <c r="E39" s="242"/>
      <c r="F39" s="243"/>
      <c r="G39" s="21"/>
      <c r="H39" s="244"/>
    </row>
    <row r="40" ht="11.25" customHeight="1"/>
    <row r="41" s="203" customFormat="1" ht="11.25" customHeight="1" spans="1:1">
      <c r="A41" s="203" t="s">
        <v>1930</v>
      </c>
    </row>
    <row r="42" ht="11.25" customHeight="1"/>
    <row r="43" s="206" customFormat="1" ht="22.5" customHeight="1" spans="1:8">
      <c r="A43" s="52"/>
      <c r="B43" s="52"/>
      <c r="C43" s="52"/>
      <c r="D43" s="241"/>
      <c r="E43" s="242"/>
      <c r="F43" s="245"/>
      <c r="G43" s="21"/>
      <c r="H43" s="244"/>
    </row>
    <row r="44" ht="11.25" customHeight="1"/>
    <row r="45" s="203" customFormat="1" ht="11.25" customHeight="1" spans="1:1">
      <c r="A45" s="203" t="s">
        <v>1931</v>
      </c>
    </row>
    <row r="46" ht="11.25" customHeight="1"/>
    <row r="47" s="206" customFormat="1" ht="24" customHeight="1" spans="1:9">
      <c r="A47" s="239" t="s">
        <v>318</v>
      </c>
      <c r="B47" s="246"/>
      <c r="C47" s="247"/>
      <c r="D47" s="248" t="str">
        <f>A47</f>
        <v>5.1</v>
      </c>
      <c r="E47" s="249" t="s">
        <v>319</v>
      </c>
      <c r="F47" s="130" t="s">
        <v>311</v>
      </c>
      <c r="G47" s="250" t="s">
        <v>320</v>
      </c>
      <c r="H47" s="244"/>
      <c r="I47" s="280"/>
    </row>
    <row r="48" s="206" customFormat="1" ht="22.5" customHeight="1" spans="1:9">
      <c r="A48" s="239"/>
      <c r="B48" s="246"/>
      <c r="C48" s="247"/>
      <c r="D48" s="241" t="str">
        <f>D47&amp;".1"</f>
        <v>5.1.1</v>
      </c>
      <c r="E48" s="251" t="s">
        <v>321</v>
      </c>
      <c r="F48" s="252" t="s">
        <v>28</v>
      </c>
      <c r="G48" s="253"/>
      <c r="H48" s="244"/>
      <c r="I48" s="280"/>
    </row>
    <row r="49" s="206" customFormat="1" ht="22.5" customHeight="1" spans="1:9">
      <c r="A49" s="239"/>
      <c r="B49" s="246"/>
      <c r="C49" s="247"/>
      <c r="D49" s="241" t="str">
        <f>D47&amp;".2"</f>
        <v>5.1.2</v>
      </c>
      <c r="E49" s="251" t="s">
        <v>322</v>
      </c>
      <c r="F49" s="254" t="s">
        <v>28</v>
      </c>
      <c r="G49" s="250" t="s">
        <v>323</v>
      </c>
      <c r="H49" s="244"/>
      <c r="I49" s="280"/>
    </row>
    <row r="50" s="206" customFormat="1" ht="22.5" customHeight="1" spans="1:9">
      <c r="A50" s="239"/>
      <c r="B50" s="246"/>
      <c r="C50" s="247"/>
      <c r="D50" s="241" t="str">
        <f>D47&amp;".3"</f>
        <v>5.1.3</v>
      </c>
      <c r="E50" s="251" t="s">
        <v>324</v>
      </c>
      <c r="F50" s="252" t="s">
        <v>28</v>
      </c>
      <c r="G50" s="253"/>
      <c r="H50" s="244"/>
      <c r="I50" s="280"/>
    </row>
    <row r="51" s="206" customFormat="1" ht="22.5" customHeight="1" spans="1:9">
      <c r="A51" s="239"/>
      <c r="B51" s="246"/>
      <c r="C51" s="247"/>
      <c r="D51" s="241" t="str">
        <f>D47&amp;".4"</f>
        <v>5.1.4</v>
      </c>
      <c r="E51" s="251" t="s">
        <v>325</v>
      </c>
      <c r="F51" s="252" t="s">
        <v>28</v>
      </c>
      <c r="G51" s="250" t="s">
        <v>326</v>
      </c>
      <c r="H51" s="244"/>
      <c r="I51" s="280"/>
    </row>
    <row r="54" s="203" customFormat="1" ht="17.25" customHeight="1" spans="1:1">
      <c r="A54" s="203" t="s">
        <v>1932</v>
      </c>
    </row>
    <row r="56" s="207" customFormat="1" ht="18.75" customHeight="1" spans="1:22">
      <c r="A56"/>
      <c r="B56" s="80"/>
      <c r="C56" s="80"/>
      <c r="D56" s="255"/>
      <c r="E56" s="256"/>
      <c r="F56" s="257">
        <v>13</v>
      </c>
      <c r="G56" s="258"/>
      <c r="H56" s="222"/>
      <c r="I56" s="267"/>
      <c r="J56" s="281" t="s">
        <v>62</v>
      </c>
      <c r="K56" s="265" t="s">
        <v>28</v>
      </c>
      <c r="L56"/>
      <c r="M56" s="43"/>
      <c r="N56" s="43"/>
      <c r="O56" s="43"/>
      <c r="P56" s="282" t="s">
        <v>397</v>
      </c>
      <c r="Q56" s="282" t="s">
        <v>398</v>
      </c>
      <c r="R56" s="291" t="s">
        <v>399</v>
      </c>
      <c r="S56" s="43" t="s">
        <v>400</v>
      </c>
      <c r="T56" s="43"/>
      <c r="U56" s="43"/>
      <c r="V56" s="43"/>
    </row>
    <row r="58" s="203" customFormat="1" ht="11.25" customHeight="1" spans="1:1">
      <c r="A58" s="203" t="s">
        <v>1933</v>
      </c>
    </row>
    <row r="60" s="42" customFormat="1" ht="14.25" customHeight="1" spans="3:45">
      <c r="C60" s="210"/>
      <c r="D60" s="259"/>
      <c r="E60" s="260" t="s">
        <v>28</v>
      </c>
      <c r="F60" s="98"/>
      <c r="G60" s="261"/>
      <c r="H60" s="262"/>
      <c r="I60" s="262"/>
      <c r="J60" s="283"/>
      <c r="K60" s="284"/>
      <c r="L60" s="285"/>
      <c r="M60" s="284"/>
      <c r="N60" s="283"/>
      <c r="O60" s="284"/>
      <c r="P60" s="283"/>
      <c r="Q60" s="284"/>
      <c r="R60" s="283"/>
      <c r="S60" s="292"/>
      <c r="T60" s="262"/>
      <c r="U60" s="283"/>
      <c r="V60" s="283"/>
      <c r="W60" s="293"/>
      <c r="X60" s="262"/>
      <c r="Y60" s="283"/>
      <c r="Z60" s="283"/>
      <c r="AA60" s="293"/>
      <c r="AB60" s="262"/>
      <c r="AC60" s="283"/>
      <c r="AD60" s="293"/>
      <c r="AE60"/>
      <c r="AF60"/>
      <c r="AG60"/>
      <c r="AH60"/>
      <c r="AJ60" s="43"/>
      <c r="AK60" s="43"/>
      <c r="AL60" s="43"/>
      <c r="AM60" s="43"/>
      <c r="AN60" s="43"/>
      <c r="AO60" s="43"/>
      <c r="AP60" s="150" t="s">
        <v>386</v>
      </c>
      <c r="AQ60" s="150" t="s">
        <v>386</v>
      </c>
      <c r="AR60" s="43"/>
      <c r="AS60" s="43"/>
    </row>
    <row r="62" s="203" customFormat="1" ht="11.25" customHeight="1" spans="1:1">
      <c r="A62" s="203" t="s">
        <v>1934</v>
      </c>
    </row>
    <row r="64" s="80" customFormat="1" ht="15" customHeight="1" spans="1:12">
      <c r="A64" s="263" t="s">
        <v>91</v>
      </c>
      <c r="B64" s="80" t="s">
        <v>28</v>
      </c>
      <c r="C64" s="264"/>
      <c r="D64" s="231"/>
      <c r="E64" s="212"/>
      <c r="F64" s="212"/>
      <c r="G64" s="138"/>
      <c r="H64" s="265"/>
      <c r="I64" s="142"/>
      <c r="K64" s="286"/>
      <c r="L64" s="151"/>
    </row>
    <row r="66" s="203" customFormat="1" ht="11.25" customHeight="1" spans="1:1">
      <c r="A66" s="203" t="s">
        <v>1935</v>
      </c>
    </row>
    <row r="68" s="42" customFormat="1" ht="14.25" customHeight="1" spans="1:10">
      <c r="A68" s="80"/>
      <c r="B68" s="37"/>
      <c r="C68" s="50"/>
      <c r="D68" s="294"/>
      <c r="E68" s="295"/>
      <c r="F68" s="265"/>
      <c r="G68"/>
      <c r="I68" s="150"/>
      <c r="J68" s="150"/>
    </row>
    <row r="70" s="203" customFormat="1" ht="11.25" customHeight="1" spans="1:1">
      <c r="A70" s="203" t="s">
        <v>1936</v>
      </c>
    </row>
    <row r="72" s="42" customFormat="1" ht="27" customHeight="1" spans="1:30">
      <c r="A72" s="296"/>
      <c r="B72" s="296"/>
      <c r="C72" s="296"/>
      <c r="D72" s="37"/>
      <c r="E72" s="297"/>
      <c r="F72" s="298"/>
      <c r="G72" s="299"/>
      <c r="H72" s="300" t="s">
        <v>62</v>
      </c>
      <c r="I72" s="333"/>
      <c r="J72" s="334"/>
      <c r="K72" s="335"/>
      <c r="L72" s="336"/>
      <c r="M72" s="336"/>
      <c r="N72" s="337"/>
      <c r="O72" s="337"/>
      <c r="P72" s="338" t="e">
        <f>DATEDIF(DATEVALUE(N72),DATEVALUE(O72),"y")&amp;"г. "&amp;DATEDIF(DATEVALUE(N72),DATEVALUE(O72),"ym")&amp;"мес. "&amp;DATEVALUE(O72)-DATE(YEAR(DATEVALUE(O72)),MONTH(DATEVALUE(O72)),1)&amp;"дн. "</f>
        <v>#VALUE!</v>
      </c>
      <c r="Q72" s="384"/>
      <c r="R72" s="384"/>
      <c r="S72" s="384"/>
      <c r="T72" s="334"/>
      <c r="U72" s="384"/>
      <c r="V72" s="384"/>
      <c r="W72" s="384"/>
      <c r="X72" s="334"/>
      <c r="Y72" s="396" t="s">
        <v>62</v>
      </c>
      <c r="Z72" s="397"/>
      <c r="AA72" s="63">
        <v>1</v>
      </c>
      <c r="AB72" s="398"/>
      <c r="AD72" s="43" t="s">
        <v>1937</v>
      </c>
    </row>
    <row r="73" s="42" customFormat="1" ht="10.5" customHeight="1" spans="1:28">
      <c r="A73" s="296"/>
      <c r="B73" s="296"/>
      <c r="C73" s="296"/>
      <c r="D73" s="37"/>
      <c r="E73" s="301"/>
      <c r="F73" s="298"/>
      <c r="G73" s="299"/>
      <c r="H73" s="302"/>
      <c r="I73" s="339"/>
      <c r="J73" s="340"/>
      <c r="K73" s="335"/>
      <c r="L73" s="336"/>
      <c r="M73" s="336"/>
      <c r="N73" s="337"/>
      <c r="O73" s="337"/>
      <c r="P73" s="338"/>
      <c r="Q73" s="384"/>
      <c r="R73" s="384"/>
      <c r="S73" s="384"/>
      <c r="T73" s="340"/>
      <c r="U73" s="384"/>
      <c r="V73" s="384"/>
      <c r="W73" s="384"/>
      <c r="X73" s="340"/>
      <c r="Y73" s="399"/>
      <c r="Z73" s="400"/>
      <c r="AA73" s="401"/>
      <c r="AB73" s="274" t="s">
        <v>1938</v>
      </c>
    </row>
    <row r="75" s="203" customFormat="1" ht="11.25" customHeight="1" spans="1:1">
      <c r="A75" s="203" t="s">
        <v>1939</v>
      </c>
    </row>
    <row r="77" s="42" customFormat="1" ht="27" customHeight="1" spans="1:30">
      <c r="A77" s="296"/>
      <c r="B77" s="296"/>
      <c r="C77" s="296"/>
      <c r="D77" s="37"/>
      <c r="E77" s="297"/>
      <c r="F77" s="303"/>
      <c r="G77" s="304"/>
      <c r="H77" s="305"/>
      <c r="I77" s="341"/>
      <c r="J77" s="342"/>
      <c r="K77" s="343"/>
      <c r="L77" s="344"/>
      <c r="M77" s="344"/>
      <c r="N77" s="345"/>
      <c r="O77" s="345"/>
      <c r="P77" s="346"/>
      <c r="Q77" s="385"/>
      <c r="R77" s="385"/>
      <c r="S77" s="385"/>
      <c r="T77" s="342"/>
      <c r="U77" s="385"/>
      <c r="V77" s="385"/>
      <c r="W77" s="385"/>
      <c r="X77" s="342"/>
      <c r="Y77" s="305"/>
      <c r="Z77" s="397"/>
      <c r="AA77" s="63">
        <v>1</v>
      </c>
      <c r="AB77" s="398"/>
      <c r="AD77" s="43" t="s">
        <v>1937</v>
      </c>
    </row>
    <row r="79" s="203" customFormat="1" ht="11.25" customHeight="1" spans="1:1">
      <c r="A79" s="203" t="s">
        <v>1940</v>
      </c>
    </row>
    <row r="80" ht="17.25" customHeight="1"/>
    <row r="81" s="42" customFormat="1" ht="21" customHeight="1" spans="1:58">
      <c r="A81" s="306"/>
      <c r="B81" s="296"/>
      <c r="C81" s="296"/>
      <c r="D81" s="37"/>
      <c r="E81" s="52"/>
      <c r="F81" s="307" t="e">
        <f>INDEX(IP_MAIN_LIST_NAME_IP,MATCH(A81,IP_MAIN_LIST_IP_ID,0))&amp;" ("&amp;INDEX(IP_MAIN_START_DATE,MATCH(A81,IP_MAIN_LIST_IP_ID,0))&amp;"-"&amp;INDEX(IP_MAIN_END_DATE,MATCH(A81,IP_MAIN_LIST_IP_ID,0))&amp;")"</f>
        <v>#N/A</v>
      </c>
      <c r="G81" s="308"/>
      <c r="H81" s="308"/>
      <c r="I81" s="347"/>
      <c r="J81" s="347"/>
      <c r="K81" s="348"/>
      <c r="L81" s="348"/>
      <c r="M81" s="348"/>
      <c r="N81" s="349"/>
      <c r="O81" s="349"/>
      <c r="P81" s="349"/>
      <c r="Q81" s="349"/>
      <c r="R81" s="349"/>
      <c r="S81" s="349"/>
      <c r="T81" s="349"/>
      <c r="U81" s="349"/>
      <c r="V81" s="349"/>
      <c r="W81" s="349"/>
      <c r="X81" s="349"/>
      <c r="Y81" s="349"/>
      <c r="Z81" s="349"/>
      <c r="AA81" s="349"/>
      <c r="AB81" s="349"/>
      <c r="AC81" s="349"/>
      <c r="AD81" s="349"/>
      <c r="AE81" s="402"/>
      <c r="AF81" s="348"/>
      <c r="AG81" s="348"/>
      <c r="AH81" s="348"/>
      <c r="AI81" s="348"/>
      <c r="AJ81" s="348"/>
      <c r="AK81" s="348"/>
      <c r="AL81" s="426"/>
      <c r="AM81" s="80"/>
      <c r="AN81" s="80"/>
      <c r="AO81" s="80"/>
      <c r="AP81" s="80"/>
      <c r="AQ81" s="80"/>
      <c r="AR81" s="80"/>
      <c r="AS81" s="80"/>
      <c r="AT81" s="80"/>
      <c r="AU81" s="80"/>
      <c r="AV81" s="80"/>
      <c r="AW81" s="80"/>
      <c r="AX81" s="80"/>
      <c r="AY81" s="80"/>
      <c r="AZ81" s="80"/>
      <c r="BA81" s="80"/>
      <c r="BB81" s="80"/>
      <c r="BC81" s="80"/>
      <c r="BD81" s="80"/>
      <c r="BE81" s="80"/>
      <c r="BF81" s="80"/>
    </row>
    <row r="82" s="42" customFormat="1" ht="0.75" customHeight="1" spans="1:58">
      <c r="A82" s="296"/>
      <c r="B82" s="296"/>
      <c r="C82" s="296"/>
      <c r="D82" s="37"/>
      <c r="E82" s="52"/>
      <c r="F82" s="269"/>
      <c r="G82" s="277"/>
      <c r="H82" s="309" t="s">
        <v>381</v>
      </c>
      <c r="I82" s="350"/>
      <c r="J82" s="219"/>
      <c r="K82" s="219"/>
      <c r="L82" s="351"/>
      <c r="M82" s="352"/>
      <c r="N82" s="353"/>
      <c r="O82" s="354"/>
      <c r="P82" s="353"/>
      <c r="Q82" s="353"/>
      <c r="R82" s="353"/>
      <c r="S82" s="353"/>
      <c r="T82" s="353"/>
      <c r="U82" s="353"/>
      <c r="V82" s="353"/>
      <c r="W82" s="353"/>
      <c r="X82" s="353"/>
      <c r="Y82" s="353"/>
      <c r="Z82" s="353"/>
      <c r="AA82" s="353"/>
      <c r="AB82" s="353"/>
      <c r="AC82" s="353"/>
      <c r="AD82" s="353"/>
      <c r="AE82" s="353"/>
      <c r="AF82" s="403"/>
      <c r="AG82" s="351"/>
      <c r="AH82" s="351"/>
      <c r="AI82" s="403"/>
      <c r="AJ82" s="351"/>
      <c r="AK82" s="351"/>
      <c r="AL82" s="426"/>
      <c r="AM82" s="80"/>
      <c r="AN82" s="80"/>
      <c r="AO82" s="80"/>
      <c r="AP82" s="80"/>
      <c r="AQ82" s="80"/>
      <c r="AR82" s="80"/>
      <c r="AS82" s="80"/>
      <c r="AT82" s="80"/>
      <c r="AU82" s="80"/>
      <c r="AV82" s="80"/>
      <c r="AW82" s="80"/>
      <c r="AX82" s="80"/>
      <c r="AY82" s="80"/>
      <c r="AZ82" s="80"/>
      <c r="BA82" s="80"/>
      <c r="BB82" s="80"/>
      <c r="BC82" s="80"/>
      <c r="BD82" s="80"/>
      <c r="BE82" s="80"/>
      <c r="BF82" s="80"/>
    </row>
    <row r="83" s="42" customFormat="1" ht="0.75" customHeight="1" spans="1:58">
      <c r="A83" s="296"/>
      <c r="B83" s="296"/>
      <c r="C83" s="296"/>
      <c r="D83" s="37"/>
      <c r="E83" s="52"/>
      <c r="F83" s="269"/>
      <c r="G83" s="277"/>
      <c r="H83" s="309"/>
      <c r="I83" s="350"/>
      <c r="J83" s="219"/>
      <c r="K83" s="219"/>
      <c r="L83" s="351"/>
      <c r="M83" s="352"/>
      <c r="N83" s="355"/>
      <c r="O83" s="356"/>
      <c r="P83" s="357"/>
      <c r="Q83" s="219"/>
      <c r="R83" s="219"/>
      <c r="S83" s="219"/>
      <c r="T83" s="219"/>
      <c r="U83" s="219"/>
      <c r="V83" s="219"/>
      <c r="W83" s="219"/>
      <c r="X83" s="219"/>
      <c r="Y83" s="219"/>
      <c r="Z83" s="404"/>
      <c r="AA83" s="360"/>
      <c r="AB83" s="360"/>
      <c r="AC83" s="405"/>
      <c r="AD83" s="405"/>
      <c r="AE83" s="406"/>
      <c r="AF83" s="403"/>
      <c r="AG83" s="351"/>
      <c r="AH83" s="351"/>
      <c r="AI83" s="403"/>
      <c r="AJ83" s="351"/>
      <c r="AK83" s="351"/>
      <c r="AL83" s="426"/>
      <c r="AM83" s="80"/>
      <c r="AN83" s="80"/>
      <c r="AO83" s="80"/>
      <c r="AP83" s="80"/>
      <c r="AQ83" s="80"/>
      <c r="AR83" s="80"/>
      <c r="AS83" s="80"/>
      <c r="AT83" s="80"/>
      <c r="AU83" s="80"/>
      <c r="AV83" s="80"/>
      <c r="AW83" s="80"/>
      <c r="AX83" s="80"/>
      <c r="AY83" s="80"/>
      <c r="AZ83" s="80"/>
      <c r="BA83" s="80"/>
      <c r="BB83" s="80"/>
      <c r="BC83" s="80"/>
      <c r="BD83" s="80"/>
      <c r="BE83" s="80"/>
      <c r="BF83" s="80"/>
    </row>
    <row r="84" s="42" customFormat="1" ht="0.75" customHeight="1" spans="1:58">
      <c r="A84" s="296"/>
      <c r="B84" s="296"/>
      <c r="C84" s="296"/>
      <c r="D84" s="37"/>
      <c r="E84" s="52"/>
      <c r="F84" s="269"/>
      <c r="G84" s="277"/>
      <c r="H84" s="309"/>
      <c r="I84" s="350"/>
      <c r="J84" s="219"/>
      <c r="K84" s="219"/>
      <c r="L84" s="351"/>
      <c r="M84" s="352"/>
      <c r="N84" s="355"/>
      <c r="O84" s="356"/>
      <c r="P84" s="358"/>
      <c r="Q84" s="219"/>
      <c r="R84" s="219"/>
      <c r="S84" s="219"/>
      <c r="T84" s="219"/>
      <c r="U84" s="219"/>
      <c r="V84" s="219"/>
      <c r="W84" s="219"/>
      <c r="X84" s="219"/>
      <c r="Y84" s="219"/>
      <c r="Z84" s="407"/>
      <c r="AA84" s="356"/>
      <c r="AB84" s="408"/>
      <c r="AC84" s="409"/>
      <c r="AD84" s="408"/>
      <c r="AE84" s="409"/>
      <c r="AF84" s="403"/>
      <c r="AG84" s="351"/>
      <c r="AH84" s="351"/>
      <c r="AI84" s="403"/>
      <c r="AJ84" s="351"/>
      <c r="AK84" s="351"/>
      <c r="AL84" s="426"/>
      <c r="AM84" s="80"/>
      <c r="AN84" s="80"/>
      <c r="AO84" s="80"/>
      <c r="AP84" s="80"/>
      <c r="AQ84" s="80"/>
      <c r="AR84" s="80"/>
      <c r="AS84" s="80"/>
      <c r="AT84" s="80"/>
      <c r="AU84" s="80"/>
      <c r="AV84" s="80"/>
      <c r="AW84" s="80"/>
      <c r="AX84" s="80"/>
      <c r="AY84" s="80"/>
      <c r="AZ84" s="80"/>
      <c r="BA84" s="80"/>
      <c r="BB84" s="80"/>
      <c r="BC84" s="80"/>
      <c r="BD84" s="80"/>
      <c r="BE84" s="80"/>
      <c r="BF84" s="80"/>
    </row>
    <row r="85" s="42" customFormat="1" ht="0.75" customHeight="1" spans="1:58">
      <c r="A85" s="296"/>
      <c r="B85" s="296"/>
      <c r="C85" s="296"/>
      <c r="D85" s="37"/>
      <c r="E85" s="52"/>
      <c r="F85" s="269"/>
      <c r="G85" s="277"/>
      <c r="H85" s="309"/>
      <c r="I85" s="350"/>
      <c r="J85" s="219"/>
      <c r="K85" s="219"/>
      <c r="L85" s="351"/>
      <c r="M85" s="352"/>
      <c r="N85" s="355"/>
      <c r="O85" s="356"/>
      <c r="P85" s="359"/>
      <c r="Q85" s="219"/>
      <c r="R85" s="219"/>
      <c r="S85" s="219"/>
      <c r="T85" s="219"/>
      <c r="U85" s="219"/>
      <c r="V85" s="219"/>
      <c r="W85" s="219"/>
      <c r="X85" s="219"/>
      <c r="Y85" s="219"/>
      <c r="Z85" s="404"/>
      <c r="AA85" s="360"/>
      <c r="AB85" s="361"/>
      <c r="AC85" s="405"/>
      <c r="AD85" s="405"/>
      <c r="AE85" s="410"/>
      <c r="AF85" s="403"/>
      <c r="AG85" s="351"/>
      <c r="AH85" s="351"/>
      <c r="AI85" s="403"/>
      <c r="AJ85" s="351"/>
      <c r="AK85" s="351"/>
      <c r="AL85" s="426"/>
      <c r="AM85" s="80"/>
      <c r="AN85" s="80"/>
      <c r="AO85" s="80"/>
      <c r="AP85" s="80"/>
      <c r="AQ85" s="80"/>
      <c r="AR85" s="80"/>
      <c r="AS85" s="80"/>
      <c r="AT85" s="80"/>
      <c r="AU85" s="80"/>
      <c r="AV85" s="80"/>
      <c r="AW85" s="80"/>
      <c r="AX85" s="80"/>
      <c r="AY85" s="80"/>
      <c r="AZ85" s="80"/>
      <c r="BA85" s="80"/>
      <c r="BB85" s="80"/>
      <c r="BC85" s="80"/>
      <c r="BD85" s="80"/>
      <c r="BE85" s="80"/>
      <c r="BF85" s="80"/>
    </row>
    <row r="86" s="42" customFormat="1" ht="0.75" customHeight="1" spans="1:58">
      <c r="A86" s="296"/>
      <c r="B86" s="296"/>
      <c r="C86" s="296"/>
      <c r="D86" s="37"/>
      <c r="E86" s="52"/>
      <c r="F86" s="269"/>
      <c r="G86" s="277"/>
      <c r="H86" s="309"/>
      <c r="I86" s="350"/>
      <c r="J86" s="219"/>
      <c r="K86" s="219"/>
      <c r="L86" s="351"/>
      <c r="M86" s="352"/>
      <c r="N86" s="360"/>
      <c r="O86" s="360"/>
      <c r="P86" s="361"/>
      <c r="Q86" s="360"/>
      <c r="R86" s="360"/>
      <c r="S86" s="360"/>
      <c r="T86" s="360"/>
      <c r="U86" s="360"/>
      <c r="V86" s="360"/>
      <c r="W86" s="360"/>
      <c r="X86" s="360"/>
      <c r="Y86" s="360"/>
      <c r="Z86" s="360"/>
      <c r="AA86" s="360"/>
      <c r="AB86" s="360"/>
      <c r="AC86" s="360"/>
      <c r="AD86" s="360"/>
      <c r="AE86" s="411"/>
      <c r="AF86" s="403"/>
      <c r="AG86" s="351"/>
      <c r="AH86" s="351"/>
      <c r="AI86" s="403"/>
      <c r="AJ86" s="351"/>
      <c r="AK86" s="351"/>
      <c r="AL86" s="426"/>
      <c r="AM86" s="80"/>
      <c r="AN86" s="80"/>
      <c r="AO86" s="80"/>
      <c r="AP86" s="80"/>
      <c r="AQ86" s="80"/>
      <c r="AR86" s="80"/>
      <c r="AS86" s="80"/>
      <c r="AT86" s="80"/>
      <c r="AU86" s="80"/>
      <c r="AV86" s="80"/>
      <c r="AW86" s="80"/>
      <c r="AX86" s="80"/>
      <c r="AY86" s="80"/>
      <c r="AZ86" s="80"/>
      <c r="BA86" s="80"/>
      <c r="BB86" s="80"/>
      <c r="BC86" s="80"/>
      <c r="BD86" s="80"/>
      <c r="BE86" s="80"/>
      <c r="BF86" s="80"/>
    </row>
    <row r="87" s="42" customFormat="1" ht="12" customHeight="1" spans="1:58">
      <c r="A87" s="296"/>
      <c r="B87" s="296"/>
      <c r="C87" s="296"/>
      <c r="D87" s="37"/>
      <c r="E87" s="52"/>
      <c r="F87" s="310"/>
      <c r="G87" s="311"/>
      <c r="H87" s="311"/>
      <c r="I87" s="321" t="s">
        <v>1941</v>
      </c>
      <c r="J87" s="321"/>
      <c r="K87" s="321"/>
      <c r="L87" s="362"/>
      <c r="M87" s="362"/>
      <c r="N87" s="363"/>
      <c r="O87" s="363"/>
      <c r="P87" s="363"/>
      <c r="Q87" s="363"/>
      <c r="R87" s="363"/>
      <c r="S87" s="363"/>
      <c r="T87" s="363"/>
      <c r="U87" s="363"/>
      <c r="V87" s="363"/>
      <c r="W87" s="363"/>
      <c r="X87" s="363"/>
      <c r="Y87" s="363"/>
      <c r="Z87" s="363"/>
      <c r="AA87" s="363"/>
      <c r="AB87" s="363"/>
      <c r="AC87" s="363"/>
      <c r="AD87" s="363"/>
      <c r="AE87" s="363"/>
      <c r="AF87" s="363"/>
      <c r="AG87" s="362"/>
      <c r="AH87" s="362"/>
      <c r="AI87" s="363"/>
      <c r="AJ87" s="362"/>
      <c r="AK87" s="363"/>
      <c r="AL87" s="426"/>
      <c r="AM87" s="80"/>
      <c r="AN87" s="80"/>
      <c r="AO87" s="80"/>
      <c r="AP87" s="80"/>
      <c r="AQ87" s="80"/>
      <c r="AR87" s="80"/>
      <c r="AS87" s="80"/>
      <c r="AT87" s="80"/>
      <c r="AU87" s="80"/>
      <c r="AV87" s="80"/>
      <c r="AW87" s="80"/>
      <c r="AX87" s="80"/>
      <c r="AY87" s="80"/>
      <c r="AZ87" s="80"/>
      <c r="BA87" s="80"/>
      <c r="BB87" s="80"/>
      <c r="BC87" s="80"/>
      <c r="BD87" s="80"/>
      <c r="BE87" s="80"/>
      <c r="BF87" s="80"/>
    </row>
    <row r="89" s="203" customFormat="1" ht="11.25" customHeight="1" spans="1:1">
      <c r="A89" s="203" t="s">
        <v>1942</v>
      </c>
    </row>
    <row r="91" s="42" customFormat="1" ht="11.25" customHeight="1" spans="1:58">
      <c r="A91" s="296"/>
      <c r="B91" s="296"/>
      <c r="C91" s="296"/>
      <c r="D91" s="37"/>
      <c r="E91" s="52"/>
      <c r="F91" s="312"/>
      <c r="G91" s="313"/>
      <c r="H91" s="313"/>
      <c r="I91" s="364"/>
      <c r="J91" s="364"/>
      <c r="K91" s="365"/>
      <c r="L91" s="364"/>
      <c r="M91" s="313"/>
      <c r="N91" s="366"/>
      <c r="O91" s="367">
        <v>1</v>
      </c>
      <c r="P91" s="368" t="s">
        <v>19</v>
      </c>
      <c r="Q91" s="103" t="s">
        <v>28</v>
      </c>
      <c r="R91" s="103" t="s">
        <v>28</v>
      </c>
      <c r="S91" s="103" t="s">
        <v>28</v>
      </c>
      <c r="T91" s="103" t="s">
        <v>28</v>
      </c>
      <c r="U91" s="103" t="s">
        <v>28</v>
      </c>
      <c r="V91" s="103" t="s">
        <v>28</v>
      </c>
      <c r="W91" s="103" t="s">
        <v>28</v>
      </c>
      <c r="X91" s="103" t="s">
        <v>28</v>
      </c>
      <c r="Y91" s="103"/>
      <c r="Z91" s="379"/>
      <c r="AA91" s="380"/>
      <c r="AB91" s="380"/>
      <c r="AC91" s="412"/>
      <c r="AD91" s="412"/>
      <c r="AE91" s="412"/>
      <c r="AF91" s="413"/>
      <c r="AG91" s="427"/>
      <c r="AH91" s="427"/>
      <c r="AI91" s="413"/>
      <c r="AJ91" s="427"/>
      <c r="AK91" s="428"/>
      <c r="AL91" s="426"/>
      <c r="AM91" s="80"/>
      <c r="AN91" s="80"/>
      <c r="AO91" s="80"/>
      <c r="AP91" s="80"/>
      <c r="AQ91" s="80"/>
      <c r="AR91" s="80"/>
      <c r="AS91" s="80"/>
      <c r="AT91" s="80"/>
      <c r="AU91" s="80"/>
      <c r="AV91" s="80"/>
      <c r="AW91" s="80"/>
      <c r="AX91" s="80"/>
      <c r="AY91" s="80"/>
      <c r="AZ91" s="80"/>
      <c r="BA91" s="80"/>
      <c r="BB91" s="80"/>
      <c r="BC91" s="80"/>
      <c r="BD91" s="80"/>
      <c r="BE91" s="80"/>
      <c r="BF91" s="80"/>
    </row>
    <row r="92" s="42" customFormat="1" ht="11.25" customHeight="1" spans="1:58">
      <c r="A92" s="296"/>
      <c r="B92" s="296"/>
      <c r="C92" s="296"/>
      <c r="D92" s="37"/>
      <c r="E92" s="52"/>
      <c r="F92" s="312"/>
      <c r="G92" s="313"/>
      <c r="H92" s="313"/>
      <c r="I92" s="369"/>
      <c r="J92" s="369"/>
      <c r="K92" s="365"/>
      <c r="L92" s="369"/>
      <c r="M92" s="313"/>
      <c r="N92" s="366"/>
      <c r="O92" s="367"/>
      <c r="P92" s="370"/>
      <c r="Q92" s="103"/>
      <c r="R92" s="103"/>
      <c r="S92" s="386"/>
      <c r="T92" s="103"/>
      <c r="U92" s="103"/>
      <c r="V92" s="103"/>
      <c r="W92" s="103"/>
      <c r="X92" s="103"/>
      <c r="Y92" s="103"/>
      <c r="Z92" s="414"/>
      <c r="AA92" s="367">
        <v>1</v>
      </c>
      <c r="AB92" s="415"/>
      <c r="AC92" s="416"/>
      <c r="AD92" s="415">
        <f>AB92</f>
        <v>0</v>
      </c>
      <c r="AE92" s="417"/>
      <c r="AF92" s="365"/>
      <c r="AG92" s="427"/>
      <c r="AH92" s="427"/>
      <c r="AI92" s="365"/>
      <c r="AJ92" s="427"/>
      <c r="AK92" s="428"/>
      <c r="AL92" s="426"/>
      <c r="AM92" s="80"/>
      <c r="AN92" s="80"/>
      <c r="AO92" s="80"/>
      <c r="AP92" s="80"/>
      <c r="AQ92" s="80"/>
      <c r="AR92" s="80"/>
      <c r="AS92" s="80"/>
      <c r="AT92" s="80"/>
      <c r="AU92" s="80"/>
      <c r="AV92" s="80"/>
      <c r="AW92" s="80"/>
      <c r="AX92" s="80"/>
      <c r="AY92" s="80"/>
      <c r="AZ92" s="80"/>
      <c r="BA92" s="80"/>
      <c r="BB92" s="80"/>
      <c r="BC92" s="80"/>
      <c r="BD92" s="80"/>
      <c r="BE92" s="80"/>
      <c r="BF92" s="80"/>
    </row>
    <row r="93" s="42" customFormat="1" ht="11.25" customHeight="1" spans="1:58">
      <c r="A93" s="296"/>
      <c r="B93" s="296"/>
      <c r="C93" s="296"/>
      <c r="D93" s="37"/>
      <c r="E93" s="52"/>
      <c r="F93" s="312"/>
      <c r="G93" s="313"/>
      <c r="H93" s="313"/>
      <c r="I93" s="371"/>
      <c r="J93" s="371"/>
      <c r="K93" s="365"/>
      <c r="L93" s="371"/>
      <c r="M93" s="313"/>
      <c r="N93" s="366"/>
      <c r="O93" s="367"/>
      <c r="P93" s="372"/>
      <c r="Q93" s="103"/>
      <c r="R93" s="103"/>
      <c r="S93" s="386"/>
      <c r="T93" s="103"/>
      <c r="U93" s="103"/>
      <c r="V93" s="103"/>
      <c r="W93" s="103"/>
      <c r="X93" s="103"/>
      <c r="Y93" s="103"/>
      <c r="Z93" s="379"/>
      <c r="AA93" s="380"/>
      <c r="AB93" s="226" t="s">
        <v>1943</v>
      </c>
      <c r="AC93" s="412"/>
      <c r="AD93" s="412"/>
      <c r="AE93" s="412"/>
      <c r="AF93" s="418"/>
      <c r="AG93" s="427"/>
      <c r="AH93" s="427"/>
      <c r="AI93" s="418"/>
      <c r="AJ93" s="427"/>
      <c r="AK93" s="428"/>
      <c r="AL93" s="426"/>
      <c r="AM93" s="80"/>
      <c r="AN93" s="80"/>
      <c r="AO93" s="80"/>
      <c r="AP93" s="80"/>
      <c r="AQ93" s="80"/>
      <c r="AR93" s="80"/>
      <c r="AS93" s="80"/>
      <c r="AT93" s="80"/>
      <c r="AU93" s="80"/>
      <c r="AV93" s="80"/>
      <c r="AW93" s="80"/>
      <c r="AX93" s="80"/>
      <c r="AY93" s="80"/>
      <c r="AZ93" s="80"/>
      <c r="BA93" s="80"/>
      <c r="BB93" s="80"/>
      <c r="BC93" s="80"/>
      <c r="BD93" s="80"/>
      <c r="BE93" s="80"/>
      <c r="BF93" s="80"/>
    </row>
    <row r="95" s="203" customFormat="1" ht="11.25" customHeight="1" spans="1:1">
      <c r="A95" s="203" t="s">
        <v>1944</v>
      </c>
    </row>
    <row r="97" s="42" customFormat="1" ht="11.25" customHeight="1" spans="1:58">
      <c r="A97" s="296"/>
      <c r="B97" s="296"/>
      <c r="C97" s="296"/>
      <c r="D97" s="37"/>
      <c r="E97" s="52"/>
      <c r="F97" s="313"/>
      <c r="G97" s="313"/>
      <c r="H97" s="313"/>
      <c r="I97" s="313"/>
      <c r="J97" s="313"/>
      <c r="K97" s="313"/>
      <c r="L97" s="313"/>
      <c r="M97" s="313"/>
      <c r="N97" s="313"/>
      <c r="O97" s="313"/>
      <c r="P97" s="313"/>
      <c r="Q97" s="313"/>
      <c r="R97" s="313"/>
      <c r="S97" s="313"/>
      <c r="T97" s="313"/>
      <c r="U97" s="313"/>
      <c r="V97" s="313"/>
      <c r="W97" s="313"/>
      <c r="X97" s="313"/>
      <c r="Y97" s="313"/>
      <c r="Z97" s="419"/>
      <c r="AA97" s="378">
        <v>1</v>
      </c>
      <c r="AB97" s="415"/>
      <c r="AC97" s="416"/>
      <c r="AD97" s="415">
        <f>AB97</f>
        <v>0</v>
      </c>
      <c r="AE97" s="416"/>
      <c r="AF97" s="365"/>
      <c r="AG97" s="427"/>
      <c r="AH97" s="427"/>
      <c r="AI97" s="365"/>
      <c r="AJ97" s="427"/>
      <c r="AK97" s="428"/>
      <c r="AL97" s="426"/>
      <c r="AM97" s="80"/>
      <c r="AN97" s="80"/>
      <c r="AO97" s="80"/>
      <c r="AP97" s="80"/>
      <c r="AQ97" s="80"/>
      <c r="AR97" s="80"/>
      <c r="AS97" s="80"/>
      <c r="AT97" s="80"/>
      <c r="AU97" s="80"/>
      <c r="AV97" s="80"/>
      <c r="AW97" s="80"/>
      <c r="AX97" s="80"/>
      <c r="AY97" s="80"/>
      <c r="AZ97" s="80"/>
      <c r="BA97" s="80"/>
      <c r="BB97" s="80"/>
      <c r="BC97" s="80"/>
      <c r="BD97" s="80"/>
      <c r="BE97" s="80"/>
      <c r="BF97" s="80"/>
    </row>
    <row r="99" s="203" customFormat="1" ht="11.25" customHeight="1" spans="1:1">
      <c r="A99" s="203" t="s">
        <v>1945</v>
      </c>
    </row>
    <row r="101" s="42" customFormat="1" ht="11.25" customHeight="1" spans="1:58">
      <c r="A101" s="296"/>
      <c r="B101" s="296"/>
      <c r="C101" s="296"/>
      <c r="D101" s="37"/>
      <c r="E101" s="52"/>
      <c r="F101" s="312"/>
      <c r="G101" s="313"/>
      <c r="H101" s="277" t="s">
        <v>111</v>
      </c>
      <c r="I101" s="373"/>
      <c r="J101" s="374"/>
      <c r="K101" s="212"/>
      <c r="L101" s="139" t="s">
        <v>19</v>
      </c>
      <c r="M101" s="231"/>
      <c r="N101" s="375"/>
      <c r="O101" s="376" t="s">
        <v>381</v>
      </c>
      <c r="P101" s="377"/>
      <c r="Q101" s="377"/>
      <c r="R101" s="377"/>
      <c r="S101" s="377"/>
      <c r="T101" s="377"/>
      <c r="U101" s="377"/>
      <c r="V101" s="377"/>
      <c r="W101" s="377"/>
      <c r="X101" s="377"/>
      <c r="Y101" s="377"/>
      <c r="Z101" s="377"/>
      <c r="AA101" s="377"/>
      <c r="AB101" s="377"/>
      <c r="AC101" s="377"/>
      <c r="AD101" s="377"/>
      <c r="AE101" s="377"/>
      <c r="AF101" s="420"/>
      <c r="AG101" s="429"/>
      <c r="AH101" s="429"/>
      <c r="AI101" s="420"/>
      <c r="AJ101" s="429"/>
      <c r="AK101" s="429"/>
      <c r="AL101" s="426"/>
      <c r="AM101" s="80"/>
      <c r="AN101" s="80"/>
      <c r="AO101" s="80"/>
      <c r="AP101" s="80"/>
      <c r="AQ101" s="80"/>
      <c r="AR101" s="80"/>
      <c r="AS101" s="80"/>
      <c r="AT101" s="80"/>
      <c r="AU101" s="80"/>
      <c r="AV101" s="80"/>
      <c r="AW101" s="80"/>
      <c r="AX101" s="80"/>
      <c r="AY101" s="80"/>
      <c r="AZ101" s="80"/>
      <c r="BA101" s="80"/>
      <c r="BB101" s="80"/>
      <c r="BC101" s="80"/>
      <c r="BD101" s="80"/>
      <c r="BE101" s="80"/>
      <c r="BF101" s="80"/>
    </row>
    <row r="102" s="42" customFormat="1" ht="11.25" customHeight="1" spans="1:58">
      <c r="A102" s="296"/>
      <c r="B102" s="296"/>
      <c r="C102" s="296"/>
      <c r="D102" s="37"/>
      <c r="E102" s="52"/>
      <c r="F102" s="312"/>
      <c r="G102" s="313"/>
      <c r="H102" s="277"/>
      <c r="I102" s="373"/>
      <c r="J102" s="374"/>
      <c r="K102" s="212"/>
      <c r="L102" s="139"/>
      <c r="M102" s="231"/>
      <c r="N102" s="366"/>
      <c r="O102" s="378">
        <v>1</v>
      </c>
      <c r="P102" s="368" t="s">
        <v>19</v>
      </c>
      <c r="Q102" s="103" t="s">
        <v>28</v>
      </c>
      <c r="R102" s="103" t="s">
        <v>28</v>
      </c>
      <c r="S102" s="103" t="s">
        <v>28</v>
      </c>
      <c r="T102" s="103" t="s">
        <v>28</v>
      </c>
      <c r="U102" s="103" t="s">
        <v>28</v>
      </c>
      <c r="V102" s="103" t="s">
        <v>28</v>
      </c>
      <c r="W102" s="103" t="s">
        <v>28</v>
      </c>
      <c r="X102" s="103" t="s">
        <v>28</v>
      </c>
      <c r="Y102" s="103"/>
      <c r="Z102" s="379"/>
      <c r="AA102" s="380"/>
      <c r="AB102" s="380"/>
      <c r="AC102" s="412"/>
      <c r="AD102" s="412"/>
      <c r="AE102" s="421"/>
      <c r="AF102" s="420"/>
      <c r="AG102" s="429"/>
      <c r="AH102" s="429"/>
      <c r="AI102" s="420"/>
      <c r="AJ102" s="429"/>
      <c r="AK102" s="429"/>
      <c r="AL102" s="426"/>
      <c r="AM102" s="80"/>
      <c r="AN102" s="80"/>
      <c r="AO102" s="80"/>
      <c r="AP102" s="80"/>
      <c r="AQ102" s="80"/>
      <c r="AR102" s="80"/>
      <c r="AS102" s="80"/>
      <c r="AT102" s="80"/>
      <c r="AU102" s="80"/>
      <c r="AV102" s="80"/>
      <c r="AW102" s="80"/>
      <c r="AX102" s="80"/>
      <c r="AY102" s="80"/>
      <c r="AZ102" s="80"/>
      <c r="BA102" s="80"/>
      <c r="BB102" s="80"/>
      <c r="BC102" s="80"/>
      <c r="BD102" s="80"/>
      <c r="BE102" s="80"/>
      <c r="BF102" s="80"/>
    </row>
    <row r="103" s="42" customFormat="1" ht="11.25" customHeight="1" spans="1:58">
      <c r="A103" s="296"/>
      <c r="B103" s="296"/>
      <c r="C103" s="296"/>
      <c r="D103" s="37"/>
      <c r="E103" s="52"/>
      <c r="F103" s="312"/>
      <c r="G103" s="313"/>
      <c r="H103" s="277"/>
      <c r="I103" s="373"/>
      <c r="J103" s="374"/>
      <c r="K103" s="212"/>
      <c r="L103" s="139"/>
      <c r="M103" s="231"/>
      <c r="N103" s="366"/>
      <c r="O103" s="378"/>
      <c r="P103" s="370"/>
      <c r="Q103" s="103"/>
      <c r="R103" s="103"/>
      <c r="S103" s="386"/>
      <c r="T103" s="103"/>
      <c r="U103" s="103"/>
      <c r="V103" s="103"/>
      <c r="W103" s="103"/>
      <c r="X103" s="103"/>
      <c r="Y103" s="103"/>
      <c r="Z103" s="414"/>
      <c r="AA103" s="367">
        <v>1</v>
      </c>
      <c r="AB103" s="415"/>
      <c r="AC103" s="416"/>
      <c r="AD103" s="415">
        <f>AB103</f>
        <v>0</v>
      </c>
      <c r="AE103" s="416"/>
      <c r="AF103" s="420"/>
      <c r="AG103" s="429"/>
      <c r="AH103" s="429"/>
      <c r="AI103" s="420"/>
      <c r="AJ103" s="429"/>
      <c r="AK103" s="429"/>
      <c r="AL103" s="426"/>
      <c r="AM103" s="80"/>
      <c r="AN103" s="80"/>
      <c r="AO103" s="80"/>
      <c r="AP103" s="80"/>
      <c r="AQ103" s="80"/>
      <c r="AR103" s="80"/>
      <c r="AS103" s="80"/>
      <c r="AT103" s="80"/>
      <c r="AU103" s="80"/>
      <c r="AV103" s="80"/>
      <c r="AW103" s="80"/>
      <c r="AX103" s="80"/>
      <c r="AY103" s="80"/>
      <c r="AZ103" s="80"/>
      <c r="BA103" s="80"/>
      <c r="BB103" s="80"/>
      <c r="BC103" s="80"/>
      <c r="BD103" s="80"/>
      <c r="BE103" s="80"/>
      <c r="BF103" s="80"/>
    </row>
    <row r="104" s="42" customFormat="1" ht="11.25" customHeight="1" spans="1:58">
      <c r="A104" s="296"/>
      <c r="B104" s="296"/>
      <c r="C104" s="296"/>
      <c r="D104" s="37"/>
      <c r="E104" s="52"/>
      <c r="F104" s="312"/>
      <c r="G104" s="313"/>
      <c r="H104" s="277"/>
      <c r="I104" s="373"/>
      <c r="J104" s="374"/>
      <c r="K104" s="212"/>
      <c r="L104" s="139"/>
      <c r="M104" s="231"/>
      <c r="N104" s="366"/>
      <c r="O104" s="378"/>
      <c r="P104" s="372"/>
      <c r="Q104" s="103"/>
      <c r="R104" s="103"/>
      <c r="S104" s="386"/>
      <c r="T104" s="103"/>
      <c r="U104" s="103"/>
      <c r="V104" s="103"/>
      <c r="W104" s="103"/>
      <c r="X104" s="103"/>
      <c r="Y104" s="103"/>
      <c r="Z104" s="379"/>
      <c r="AA104" s="380"/>
      <c r="AB104" s="226" t="s">
        <v>1943</v>
      </c>
      <c r="AC104" s="412"/>
      <c r="AD104" s="412"/>
      <c r="AE104" s="422"/>
      <c r="AF104" s="420"/>
      <c r="AG104" s="429"/>
      <c r="AH104" s="429"/>
      <c r="AI104" s="420"/>
      <c r="AJ104" s="429"/>
      <c r="AK104" s="429"/>
      <c r="AL104" s="426"/>
      <c r="AM104" s="80"/>
      <c r="AN104" s="80"/>
      <c r="AO104" s="80"/>
      <c r="AP104" s="80"/>
      <c r="AQ104" s="80"/>
      <c r="AR104" s="80"/>
      <c r="AS104" s="80"/>
      <c r="AT104" s="80"/>
      <c r="AU104" s="80"/>
      <c r="AV104" s="80"/>
      <c r="AW104" s="80"/>
      <c r="AX104" s="80"/>
      <c r="AY104" s="80"/>
      <c r="AZ104" s="80"/>
      <c r="BA104" s="80"/>
      <c r="BB104" s="80"/>
      <c r="BC104" s="80"/>
      <c r="BD104" s="80"/>
      <c r="BE104" s="80"/>
      <c r="BF104" s="80"/>
    </row>
    <row r="105" s="42" customFormat="1" ht="11.25" customHeight="1" spans="1:58">
      <c r="A105" s="296"/>
      <c r="B105" s="296"/>
      <c r="C105" s="296"/>
      <c r="D105" s="37"/>
      <c r="E105" s="52"/>
      <c r="F105" s="312"/>
      <c r="G105" s="313"/>
      <c r="H105" s="277"/>
      <c r="I105" s="373"/>
      <c r="J105" s="374"/>
      <c r="K105" s="212"/>
      <c r="L105" s="139"/>
      <c r="M105" s="231"/>
      <c r="N105" s="379"/>
      <c r="O105" s="380"/>
      <c r="P105" s="226" t="s">
        <v>1946</v>
      </c>
      <c r="Q105" s="380"/>
      <c r="R105" s="380"/>
      <c r="S105" s="380"/>
      <c r="T105" s="380"/>
      <c r="U105" s="380"/>
      <c r="V105" s="380"/>
      <c r="W105" s="380"/>
      <c r="X105" s="380"/>
      <c r="Y105" s="380"/>
      <c r="Z105" s="380"/>
      <c r="AA105" s="380"/>
      <c r="AB105" s="380"/>
      <c r="AC105" s="380"/>
      <c r="AD105" s="380"/>
      <c r="AE105" s="423"/>
      <c r="AF105" s="420"/>
      <c r="AG105" s="429"/>
      <c r="AH105" s="429"/>
      <c r="AI105" s="420"/>
      <c r="AJ105" s="429"/>
      <c r="AK105" s="429"/>
      <c r="AL105" s="426"/>
      <c r="AM105" s="80"/>
      <c r="AN105" s="80"/>
      <c r="AO105" s="80"/>
      <c r="AP105" s="80"/>
      <c r="AQ105" s="80"/>
      <c r="AR105" s="80"/>
      <c r="AS105" s="80"/>
      <c r="AT105" s="80"/>
      <c r="AU105" s="80"/>
      <c r="AV105" s="80"/>
      <c r="AW105" s="80"/>
      <c r="AX105" s="80"/>
      <c r="AY105" s="80"/>
      <c r="AZ105" s="80"/>
      <c r="BA105" s="80"/>
      <c r="BB105" s="80"/>
      <c r="BC105" s="80"/>
      <c r="BD105" s="80"/>
      <c r="BE105" s="80"/>
      <c r="BF105" s="80"/>
    </row>
    <row r="107" s="203" customFormat="1" ht="11.25" customHeight="1" spans="1:1">
      <c r="A107" s="203" t="s">
        <v>1947</v>
      </c>
    </row>
    <row r="108" ht="17.25" customHeight="1"/>
    <row r="109" s="208" customFormat="1" ht="21" customHeight="1" spans="1:180">
      <c r="A109" s="306"/>
      <c r="B109" s="314"/>
      <c r="E109" s="315" t="s">
        <v>28</v>
      </c>
      <c r="F109" s="316" t="e">
        <f>INDEX(IP_MAIN_LIST_NAME_IP,MATCH(A109,IP_MAIN_LIST_IP_ID,0))&amp;" ("&amp;INDEX(IP_MAIN_START_DATE,MATCH(A109,IP_MAIN_LIST_IP_ID,0))&amp;"-"&amp;INDEX(IP_MAIN_END_DATE,MATCH(A109,IP_MAIN_LIST_IP_ID,0))&amp;")"</f>
        <v>#N/A</v>
      </c>
      <c r="G109" s="317"/>
      <c r="H109" s="318"/>
      <c r="I109" s="318"/>
      <c r="J109" s="318"/>
      <c r="K109" s="318"/>
      <c r="L109" s="318"/>
      <c r="M109" s="318"/>
      <c r="N109" s="318"/>
      <c r="O109" s="317"/>
      <c r="P109" s="317"/>
      <c r="Q109" s="317"/>
      <c r="R109" s="317"/>
      <c r="S109" s="317"/>
      <c r="T109" s="317"/>
      <c r="U109" s="387"/>
      <c r="V109" s="387"/>
      <c r="W109" s="387"/>
      <c r="X109" s="387"/>
      <c r="Y109" s="387"/>
      <c r="Z109" s="387"/>
      <c r="AA109" s="387"/>
      <c r="AB109" s="317"/>
      <c r="AC109" s="318"/>
      <c r="AD109" s="318"/>
      <c r="AE109" s="318"/>
      <c r="AF109" s="318"/>
      <c r="AG109" s="318"/>
      <c r="AH109" s="318"/>
      <c r="AI109" s="318"/>
      <c r="AJ109" s="318"/>
      <c r="AK109" s="318"/>
      <c r="AL109" s="318"/>
      <c r="AM109" s="318"/>
      <c r="AN109" s="318"/>
      <c r="AO109" s="318"/>
      <c r="AP109" s="318"/>
      <c r="AQ109" s="318"/>
      <c r="AR109" s="318"/>
      <c r="AS109" s="318"/>
      <c r="AT109" s="318"/>
      <c r="AU109" s="318"/>
      <c r="AV109" s="318"/>
      <c r="AW109" s="318"/>
      <c r="AX109" s="318"/>
      <c r="AY109" s="318"/>
      <c r="AZ109" s="318"/>
      <c r="BA109" s="318"/>
      <c r="BB109" s="318"/>
      <c r="BC109" s="318"/>
      <c r="BD109" s="318"/>
      <c r="BE109" s="318"/>
      <c r="BF109" s="318"/>
      <c r="BG109" s="318"/>
      <c r="BH109" s="318"/>
      <c r="BI109" s="318"/>
      <c r="BJ109" s="318"/>
      <c r="BK109" s="318"/>
      <c r="BL109" s="318"/>
      <c r="BM109" s="318"/>
      <c r="BN109" s="318"/>
      <c r="BO109" s="318"/>
      <c r="BP109" s="318"/>
      <c r="BQ109" s="318"/>
      <c r="BR109" s="318"/>
      <c r="BS109" s="318"/>
      <c r="BT109" s="318"/>
      <c r="BU109" s="318"/>
      <c r="BV109" s="318"/>
      <c r="BW109" s="318"/>
      <c r="BX109" s="318"/>
      <c r="BY109" s="318"/>
      <c r="BZ109" s="318"/>
      <c r="CA109" s="318"/>
      <c r="CB109" s="318"/>
      <c r="CC109" s="318"/>
      <c r="CD109" s="318"/>
      <c r="CE109" s="318"/>
      <c r="CF109" s="318"/>
      <c r="CG109" s="318"/>
      <c r="CH109" s="318"/>
      <c r="CI109" s="318"/>
      <c r="CJ109" s="318"/>
      <c r="CK109" s="318"/>
      <c r="CL109" s="432"/>
      <c r="CM109" s="432"/>
      <c r="CN109" s="432"/>
      <c r="CO109" s="432"/>
      <c r="CP109" s="432"/>
      <c r="CQ109" s="432"/>
      <c r="CR109" s="432"/>
      <c r="CS109" s="432"/>
      <c r="CT109" s="432"/>
      <c r="CU109" s="432"/>
      <c r="CV109" s="432"/>
      <c r="CW109" s="432"/>
      <c r="CX109" s="432"/>
      <c r="CY109" s="432"/>
      <c r="CZ109" s="432"/>
      <c r="DA109" s="432"/>
      <c r="DB109" s="432"/>
      <c r="DC109" s="432"/>
      <c r="DD109" s="432"/>
      <c r="DE109" s="432"/>
      <c r="DF109" s="432"/>
      <c r="DG109" s="432"/>
      <c r="DH109" s="432"/>
      <c r="DI109" s="432"/>
      <c r="DJ109" s="432"/>
      <c r="DK109" s="432"/>
      <c r="DL109" s="432"/>
      <c r="DM109" s="432"/>
      <c r="DN109" s="432"/>
      <c r="DO109" s="432"/>
      <c r="DP109" s="432"/>
      <c r="DQ109" s="432"/>
      <c r="DR109" s="432"/>
      <c r="DS109" s="432"/>
      <c r="DT109" s="432"/>
      <c r="DU109" s="432"/>
      <c r="DV109" s="432"/>
      <c r="DW109" s="432"/>
      <c r="DX109" s="432"/>
      <c r="DY109" s="432"/>
      <c r="DZ109" s="432"/>
      <c r="EA109" s="432"/>
      <c r="EB109" s="432"/>
      <c r="EC109" s="432"/>
      <c r="ED109" s="432"/>
      <c r="EE109" s="432"/>
      <c r="EF109" s="432"/>
      <c r="EG109" s="432"/>
      <c r="EH109" s="432"/>
      <c r="EI109" s="432"/>
      <c r="EJ109" s="432"/>
      <c r="EK109" s="432"/>
      <c r="EL109" s="432"/>
      <c r="EM109" s="432"/>
      <c r="EN109" s="432"/>
      <c r="EO109" s="432"/>
      <c r="EP109" s="432"/>
      <c r="EQ109" s="432"/>
      <c r="ER109" s="432"/>
      <c r="ES109" s="432"/>
      <c r="ET109" s="432"/>
      <c r="EU109" s="432"/>
      <c r="EV109" s="432"/>
      <c r="EW109" s="432"/>
      <c r="EX109" s="432"/>
      <c r="EY109" s="432"/>
      <c r="EZ109" s="432"/>
      <c r="FA109" s="432"/>
      <c r="FB109" s="432"/>
      <c r="FC109" s="432"/>
      <c r="FD109" s="432"/>
      <c r="FE109" s="432"/>
      <c r="FF109" s="432"/>
      <c r="FG109" s="432"/>
      <c r="FH109" s="432"/>
      <c r="FI109" s="432"/>
      <c r="FJ109" s="432"/>
      <c r="FK109" s="432"/>
      <c r="FL109" s="432"/>
      <c r="FM109" s="432"/>
      <c r="FN109" s="432"/>
      <c r="FO109" s="432"/>
      <c r="FP109" s="432"/>
      <c r="FQ109" s="432"/>
      <c r="FR109" s="432"/>
      <c r="FS109" s="432"/>
      <c r="FT109" s="432"/>
      <c r="FU109" s="432"/>
      <c r="FV109" s="433"/>
      <c r="FW109" s="434"/>
      <c r="FX109" s="435"/>
    </row>
    <row r="110" s="208" customFormat="1" ht="24.75" customHeight="1" spans="2:180">
      <c r="B110" s="314"/>
      <c r="E110"/>
      <c r="F110" s="211">
        <v>1</v>
      </c>
      <c r="G110" s="276"/>
      <c r="H110" s="319"/>
      <c r="I110" s="381"/>
      <c r="J110" s="382"/>
      <c r="K110" s="382"/>
      <c r="L110" s="382"/>
      <c r="M110" s="382"/>
      <c r="N110" s="382"/>
      <c r="O110" s="383"/>
      <c r="P110" s="383"/>
      <c r="Q110" s="383"/>
      <c r="R110" s="383"/>
      <c r="S110" s="383"/>
      <c r="T110" s="383"/>
      <c r="U110" s="383"/>
      <c r="V110" s="383"/>
      <c r="W110" s="383"/>
      <c r="X110" s="383"/>
      <c r="Y110" s="383"/>
      <c r="Z110" s="383"/>
      <c r="AA110" s="383"/>
      <c r="AB110" s="383"/>
      <c r="AC110" s="382"/>
      <c r="AD110" s="382"/>
      <c r="AE110" s="382"/>
      <c r="AF110" s="382"/>
      <c r="AG110" s="382"/>
      <c r="AH110" s="382"/>
      <c r="AI110" s="382"/>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c r="BP110" s="382"/>
      <c r="BQ110" s="382"/>
      <c r="BR110" s="382"/>
      <c r="BS110" s="382"/>
      <c r="BT110" s="383"/>
      <c r="BU110" s="383"/>
      <c r="BV110" s="383"/>
      <c r="BW110" s="383"/>
      <c r="BX110" s="383"/>
      <c r="BY110" s="383"/>
      <c r="BZ110" s="383"/>
      <c r="CA110" s="383"/>
      <c r="CB110" s="383"/>
      <c r="CC110" s="383"/>
      <c r="CD110" s="383"/>
      <c r="CE110" s="383"/>
      <c r="CF110" s="383"/>
      <c r="CG110" s="383"/>
      <c r="CH110" s="383"/>
      <c r="CI110" s="383"/>
      <c r="CJ110" s="383"/>
      <c r="CK110" s="383"/>
      <c r="CL110" s="382"/>
      <c r="CM110" s="382"/>
      <c r="CN110" s="382"/>
      <c r="CO110" s="382"/>
      <c r="CP110" s="382"/>
      <c r="CQ110" s="382"/>
      <c r="CR110" s="382"/>
      <c r="CS110" s="382"/>
      <c r="CT110" s="382"/>
      <c r="CU110" s="382"/>
      <c r="CV110" s="382"/>
      <c r="CW110" s="382"/>
      <c r="CX110" s="382"/>
      <c r="CY110" s="383"/>
      <c r="CZ110" s="383"/>
      <c r="DA110" s="383"/>
      <c r="DB110" s="383"/>
      <c r="DC110" s="383"/>
      <c r="DD110" s="383"/>
      <c r="DE110" s="383"/>
      <c r="DF110" s="383"/>
      <c r="DG110" s="383"/>
      <c r="DH110" s="383"/>
      <c r="DI110" s="383"/>
      <c r="DJ110" s="383"/>
      <c r="DK110" s="382"/>
      <c r="DL110" s="382"/>
      <c r="DM110" s="382"/>
      <c r="DN110" s="382"/>
      <c r="DO110" s="382"/>
      <c r="DP110" s="382"/>
      <c r="DQ110" s="382"/>
      <c r="DR110" s="382"/>
      <c r="DS110" s="382"/>
      <c r="DT110" s="382"/>
      <c r="DU110" s="382"/>
      <c r="DV110" s="382"/>
      <c r="DW110" s="382"/>
      <c r="DX110" s="382"/>
      <c r="DY110" s="382"/>
      <c r="DZ110" s="382"/>
      <c r="EA110" s="382"/>
      <c r="EB110" s="382"/>
      <c r="EC110" s="382"/>
      <c r="ED110" s="382"/>
      <c r="EE110" s="382"/>
      <c r="EF110" s="382"/>
      <c r="EG110" s="382"/>
      <c r="EH110" s="382"/>
      <c r="EI110" s="382"/>
      <c r="EJ110" s="382"/>
      <c r="EK110" s="382"/>
      <c r="EL110" s="382"/>
      <c r="EM110" s="382"/>
      <c r="EN110" s="382"/>
      <c r="EO110" s="382"/>
      <c r="EP110" s="382"/>
      <c r="EQ110" s="382"/>
      <c r="ER110" s="382"/>
      <c r="ES110" s="382"/>
      <c r="ET110" s="382"/>
      <c r="EU110" s="382"/>
      <c r="EV110" s="382"/>
      <c r="EW110" s="382"/>
      <c r="EX110" s="382"/>
      <c r="EY110" s="382"/>
      <c r="EZ110" s="382"/>
      <c r="FA110" s="382"/>
      <c r="FB110" s="382"/>
      <c r="FC110" s="382"/>
      <c r="FD110" s="382"/>
      <c r="FE110" s="382"/>
      <c r="FF110" s="382"/>
      <c r="FG110" s="382"/>
      <c r="FH110" s="382"/>
      <c r="FI110" s="382"/>
      <c r="FJ110" s="382"/>
      <c r="FK110" s="382"/>
      <c r="FL110" s="382"/>
      <c r="FM110" s="382"/>
      <c r="FN110" s="382"/>
      <c r="FO110" s="382"/>
      <c r="FP110" s="382"/>
      <c r="FQ110" s="382"/>
      <c r="FR110" s="382"/>
      <c r="FS110" s="382"/>
      <c r="FT110" s="382"/>
      <c r="FU110" s="382"/>
      <c r="FV110" s="382"/>
      <c r="FW110" s="382"/>
      <c r="FX110" s="435"/>
    </row>
    <row r="111" s="208" customFormat="1" ht="12" customHeight="1" spans="2:184">
      <c r="B111" s="314"/>
      <c r="F111" s="320"/>
      <c r="G111" s="321" t="s">
        <v>1948</v>
      </c>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321"/>
      <c r="AO111" s="321"/>
      <c r="AP111" s="321"/>
      <c r="AQ111" s="321"/>
      <c r="AR111" s="321"/>
      <c r="AS111" s="321"/>
      <c r="AT111" s="321"/>
      <c r="AU111" s="321"/>
      <c r="AV111" s="321"/>
      <c r="AW111" s="321"/>
      <c r="AX111" s="321"/>
      <c r="AY111" s="321"/>
      <c r="AZ111" s="321"/>
      <c r="BA111" s="321"/>
      <c r="BB111" s="321"/>
      <c r="BC111" s="321"/>
      <c r="BD111" s="321"/>
      <c r="BE111" s="321"/>
      <c r="BF111" s="321"/>
      <c r="BG111" s="321"/>
      <c r="BH111" s="321"/>
      <c r="BI111" s="321"/>
      <c r="BJ111" s="321"/>
      <c r="BK111" s="321"/>
      <c r="BL111" s="321"/>
      <c r="BM111" s="321"/>
      <c r="BN111" s="321"/>
      <c r="BO111" s="321"/>
      <c r="BP111" s="321"/>
      <c r="BQ111" s="321"/>
      <c r="BR111" s="321"/>
      <c r="BS111" s="321"/>
      <c r="BT111" s="321"/>
      <c r="BU111" s="321"/>
      <c r="BV111" s="321"/>
      <c r="BW111" s="321"/>
      <c r="BX111" s="321"/>
      <c r="BY111" s="321"/>
      <c r="BZ111" s="321"/>
      <c r="CA111" s="321"/>
      <c r="CB111" s="321"/>
      <c r="CC111" s="321"/>
      <c r="CD111" s="321"/>
      <c r="CE111" s="321"/>
      <c r="CF111" s="321"/>
      <c r="CG111" s="321"/>
      <c r="CH111" s="321"/>
      <c r="CI111" s="321"/>
      <c r="CJ111" s="321"/>
      <c r="CK111" s="321"/>
      <c r="CL111" s="321"/>
      <c r="CM111" s="321"/>
      <c r="CN111" s="321"/>
      <c r="CO111" s="321"/>
      <c r="CP111" s="321"/>
      <c r="CQ111" s="321"/>
      <c r="CR111" s="321"/>
      <c r="CS111" s="321"/>
      <c r="CT111" s="321"/>
      <c r="CU111" s="321"/>
      <c r="CV111" s="321"/>
      <c r="CW111" s="321"/>
      <c r="CX111" s="321"/>
      <c r="CY111" s="321"/>
      <c r="CZ111" s="321"/>
      <c r="DA111" s="321"/>
      <c r="DB111" s="321"/>
      <c r="DC111" s="321"/>
      <c r="DD111" s="321"/>
      <c r="DE111" s="321"/>
      <c r="DF111" s="321"/>
      <c r="DG111" s="321"/>
      <c r="DH111" s="321"/>
      <c r="DI111" s="321"/>
      <c r="DJ111" s="321"/>
      <c r="DK111" s="321"/>
      <c r="DL111" s="321"/>
      <c r="DM111" s="321"/>
      <c r="DN111" s="321"/>
      <c r="DO111" s="321"/>
      <c r="DP111" s="321"/>
      <c r="DQ111" s="321"/>
      <c r="DR111" s="321"/>
      <c r="DS111" s="321"/>
      <c r="DT111" s="321"/>
      <c r="DU111" s="321"/>
      <c r="DV111" s="321"/>
      <c r="DW111" s="321"/>
      <c r="DX111" s="321"/>
      <c r="DY111" s="321"/>
      <c r="DZ111" s="321"/>
      <c r="EA111" s="321"/>
      <c r="EB111" s="321"/>
      <c r="EC111" s="321"/>
      <c r="ED111" s="321"/>
      <c r="EE111" s="321"/>
      <c r="EF111" s="321"/>
      <c r="EG111" s="321"/>
      <c r="EH111" s="321"/>
      <c r="EI111" s="321"/>
      <c r="EJ111" s="321"/>
      <c r="EK111" s="321"/>
      <c r="EL111" s="321"/>
      <c r="EM111" s="321"/>
      <c r="EN111" s="321"/>
      <c r="EO111" s="321"/>
      <c r="EP111" s="321"/>
      <c r="EQ111" s="321"/>
      <c r="ER111" s="321"/>
      <c r="ES111" s="321"/>
      <c r="ET111" s="321"/>
      <c r="EU111" s="321"/>
      <c r="EV111" s="321"/>
      <c r="EW111" s="321"/>
      <c r="EX111" s="321"/>
      <c r="EY111" s="321"/>
      <c r="EZ111" s="321"/>
      <c r="FA111" s="321"/>
      <c r="FB111" s="321"/>
      <c r="FC111" s="321"/>
      <c r="FD111" s="321"/>
      <c r="FE111" s="321"/>
      <c r="FF111" s="321"/>
      <c r="FG111" s="321"/>
      <c r="FH111" s="321"/>
      <c r="FI111" s="321"/>
      <c r="FJ111" s="321"/>
      <c r="FK111" s="321"/>
      <c r="FL111" s="321"/>
      <c r="FM111" s="321"/>
      <c r="FN111" s="321"/>
      <c r="FO111" s="321"/>
      <c r="FP111" s="321"/>
      <c r="FQ111" s="321"/>
      <c r="FR111" s="321"/>
      <c r="FS111" s="321"/>
      <c r="FT111" s="321"/>
      <c r="FU111" s="321"/>
      <c r="FV111" s="321"/>
      <c r="FW111" s="436"/>
      <c r="FX111" s="80"/>
      <c r="FY111" s="437"/>
      <c r="FZ111" s="437"/>
      <c r="GA111" s="437"/>
      <c r="GB111" s="437"/>
    </row>
    <row r="113" s="203" customFormat="1" ht="11.25" customHeight="1" spans="1:1">
      <c r="A113" s="203" t="s">
        <v>1949</v>
      </c>
    </row>
    <row r="115" customFormat="1" ht="15" customHeight="1" spans="1:83">
      <c r="A115" s="4"/>
      <c r="D115" s="322" t="s">
        <v>111</v>
      </c>
      <c r="E115" s="323" t="s">
        <v>107</v>
      </c>
      <c r="F115" s="324"/>
      <c r="G115" s="325"/>
      <c r="H115" s="326" t="str">
        <f>IF(A115="","",INDEX(DIFFERENTIATION_UNMERGE_VD,MATCH(A115,DIFFERENTIATION_ID_DIFF,0)))</f>
        <v/>
      </c>
      <c r="I115" s="326"/>
      <c r="J115" s="326"/>
      <c r="K115" s="326"/>
      <c r="L115" s="326"/>
      <c r="M115" s="326"/>
      <c r="N115" s="326"/>
      <c r="O115" s="326"/>
      <c r="P115" s="326"/>
      <c r="Q115" s="326"/>
      <c r="R115" s="326"/>
      <c r="S115" s="388"/>
      <c r="T115" s="389"/>
      <c r="U115" s="151"/>
      <c r="V115" s="151"/>
      <c r="W115" s="263"/>
      <c r="X115" s="263"/>
      <c r="Y115" s="263"/>
      <c r="Z115" s="263"/>
      <c r="AA115" s="151"/>
      <c r="AB115" s="263"/>
      <c r="AC115" s="424"/>
      <c r="AD115" s="263"/>
      <c r="AE115" s="425" t="s">
        <v>28</v>
      </c>
      <c r="AF115" s="425"/>
      <c r="AG115" s="430" t="s">
        <v>619</v>
      </c>
      <c r="AH115" s="431">
        <v>3</v>
      </c>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263"/>
      <c r="BW115" s="263"/>
      <c r="BX115" s="263"/>
      <c r="BY115" s="263"/>
      <c r="BZ115" s="263"/>
      <c r="CA115" s="263"/>
      <c r="CB115" s="263"/>
      <c r="CC115" s="263"/>
      <c r="CD115" s="263"/>
      <c r="CE115" s="263"/>
    </row>
    <row r="116" customFormat="1" ht="15" customHeight="1" spans="1:83">
      <c r="A116" s="4"/>
      <c r="D116" s="327"/>
      <c r="E116" s="323" t="s">
        <v>574</v>
      </c>
      <c r="F116" s="324"/>
      <c r="G116" s="325"/>
      <c r="H116" s="326" t="str">
        <f>IF(A115="","",INDEX(DIFFERENTIATION_UNMERGE_AREA,MATCH(A115,DIFFERENTIATION_ID_DIFF,0)))</f>
        <v/>
      </c>
      <c r="I116" s="326"/>
      <c r="J116" s="326"/>
      <c r="K116" s="326"/>
      <c r="L116" s="326"/>
      <c r="M116" s="326"/>
      <c r="N116" s="326"/>
      <c r="O116" s="326"/>
      <c r="P116" s="326"/>
      <c r="Q116" s="326"/>
      <c r="R116" s="326"/>
      <c r="S116" s="388"/>
      <c r="T116" s="389"/>
      <c r="U116" s="151"/>
      <c r="V116" s="151"/>
      <c r="W116" s="263"/>
      <c r="X116" s="263"/>
      <c r="Y116" s="263"/>
      <c r="Z116" s="263"/>
      <c r="AA116" s="151"/>
      <c r="AB116" s="263"/>
      <c r="AC116" s="424"/>
      <c r="AD116" s="263"/>
      <c r="AE116" s="425"/>
      <c r="AF116" s="425"/>
      <c r="AG116" s="430"/>
      <c r="AH116" s="43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151"/>
      <c r="BQ116" s="151"/>
      <c r="BR116" s="151"/>
      <c r="BS116" s="151"/>
      <c r="BT116" s="151"/>
      <c r="BU116" s="151"/>
      <c r="BV116" s="263"/>
      <c r="BW116" s="263"/>
      <c r="BX116" s="263"/>
      <c r="BY116" s="263"/>
      <c r="BZ116" s="263"/>
      <c r="CA116" s="263"/>
      <c r="CB116" s="263"/>
      <c r="CC116" s="263"/>
      <c r="CD116" s="263"/>
      <c r="CE116" s="263"/>
    </row>
    <row r="117" customFormat="1" ht="15" customHeight="1" spans="1:83">
      <c r="A117" s="4"/>
      <c r="D117" s="327"/>
      <c r="E117" s="323" t="s">
        <v>575</v>
      </c>
      <c r="F117" s="324"/>
      <c r="G117" s="325"/>
      <c r="H117" s="326" t="str">
        <f>IF(A115="","",INDEX(DIFFERENTIATION_UNMERGE_SYSTEM,MATCH(A115,DIFFERENTIATION_ID_DIFF,0)))</f>
        <v/>
      </c>
      <c r="I117" s="326"/>
      <c r="J117" s="326"/>
      <c r="K117" s="326"/>
      <c r="L117" s="326"/>
      <c r="M117" s="326"/>
      <c r="N117" s="326"/>
      <c r="O117" s="326"/>
      <c r="P117" s="326"/>
      <c r="Q117" s="326"/>
      <c r="R117" s="326"/>
      <c r="S117" s="388"/>
      <c r="T117" s="389"/>
      <c r="U117" s="151"/>
      <c r="V117" s="151"/>
      <c r="W117" s="263"/>
      <c r="X117" s="263"/>
      <c r="Y117" s="263"/>
      <c r="Z117" s="263"/>
      <c r="AA117" s="151"/>
      <c r="AB117" s="263"/>
      <c r="AC117" s="424"/>
      <c r="AD117" s="263"/>
      <c r="AE117" s="425"/>
      <c r="AF117" s="425"/>
      <c r="AG117" s="430"/>
      <c r="AH117" s="43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263"/>
      <c r="BW117" s="263"/>
      <c r="BX117" s="263"/>
      <c r="BY117" s="263"/>
      <c r="BZ117" s="263"/>
      <c r="CA117" s="263"/>
      <c r="CB117" s="263"/>
      <c r="CC117" s="263"/>
      <c r="CD117" s="263"/>
      <c r="CE117" s="263"/>
    </row>
    <row r="118" customFormat="1" ht="24.75" customHeight="1" spans="1:83">
      <c r="A118" s="47"/>
      <c r="B118" s="37"/>
      <c r="C118" s="223"/>
      <c r="D118" s="327"/>
      <c r="E118" s="328" t="s">
        <v>620</v>
      </c>
      <c r="F118" s="328"/>
      <c r="G118" s="328"/>
      <c r="H118" s="328"/>
      <c r="I118" s="328"/>
      <c r="J118" s="328"/>
      <c r="K118" s="328"/>
      <c r="L118" s="328"/>
      <c r="M118" s="328"/>
      <c r="N118" s="328"/>
      <c r="O118" s="328"/>
      <c r="P118" s="328"/>
      <c r="Q118" s="390">
        <f>SUMIF(T119:T120,"i",Q119:Q120)</f>
        <v>0</v>
      </c>
      <c r="R118" s="391"/>
      <c r="S118" s="392" t="s">
        <v>621</v>
      </c>
      <c r="T118" s="389" t="s">
        <v>622</v>
      </c>
      <c r="U118" s="92">
        <v>1</v>
      </c>
      <c r="V118" s="92" t="s">
        <v>585</v>
      </c>
      <c r="W118" s="37"/>
      <c r="X118" s="37"/>
      <c r="Y118" s="37"/>
      <c r="Z118" s="37"/>
      <c r="AA118" s="43"/>
      <c r="AB118" s="37"/>
      <c r="AC118" s="424"/>
      <c r="AD118" s="263"/>
      <c r="AE118" s="37"/>
      <c r="AF118" s="37"/>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37"/>
      <c r="BW118" s="37"/>
      <c r="BX118" s="37"/>
      <c r="BY118" s="37"/>
      <c r="BZ118" s="37"/>
      <c r="CA118" s="37"/>
      <c r="CB118" s="37"/>
      <c r="CC118" s="37"/>
      <c r="CD118" s="37"/>
      <c r="CE118" s="37"/>
    </row>
    <row r="119" customFormat="1" ht="11.25" hidden="1" customHeight="1" spans="1:83">
      <c r="A119" s="92"/>
      <c r="B119" s="43"/>
      <c r="C119" s="43"/>
      <c r="D119" s="327"/>
      <c r="E119" s="329"/>
      <c r="F119" s="329">
        <v>0</v>
      </c>
      <c r="G119" s="329"/>
      <c r="H119" s="329"/>
      <c r="I119" s="329"/>
      <c r="J119" s="329"/>
      <c r="K119" s="329"/>
      <c r="L119" s="329"/>
      <c r="M119" s="329"/>
      <c r="N119" s="329"/>
      <c r="O119" s="329"/>
      <c r="P119" s="329"/>
      <c r="Q119" s="329"/>
      <c r="R119" s="329"/>
      <c r="S119" s="393"/>
      <c r="T119" s="394"/>
      <c r="U119" s="92"/>
      <c r="V119" s="92"/>
      <c r="W119" s="43"/>
      <c r="X119" s="43"/>
      <c r="Y119" s="43"/>
      <c r="Z119" s="43"/>
      <c r="AA119" s="43"/>
      <c r="AB119" s="37"/>
      <c r="AC119" s="424"/>
      <c r="AD119" s="263"/>
      <c r="AE119" s="37"/>
      <c r="AF119" s="37"/>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row>
    <row r="120" customFormat="1" ht="11.25" customHeight="1" spans="1:83">
      <c r="A120" s="47"/>
      <c r="B120" s="37"/>
      <c r="C120" s="223"/>
      <c r="D120" s="327"/>
      <c r="E120" s="330" t="s">
        <v>28</v>
      </c>
      <c r="F120" s="226" t="s">
        <v>28</v>
      </c>
      <c r="G120" s="226" t="s">
        <v>1950</v>
      </c>
      <c r="H120" s="331" t="s">
        <v>28</v>
      </c>
      <c r="I120" s="331"/>
      <c r="J120" s="331"/>
      <c r="K120" s="331"/>
      <c r="L120" s="331"/>
      <c r="M120" s="331"/>
      <c r="N120" s="331"/>
      <c r="O120" s="331"/>
      <c r="P120" s="331"/>
      <c r="Q120" s="331"/>
      <c r="R120" s="274"/>
      <c r="S120" s="395"/>
      <c r="T120" s="394"/>
      <c r="U120" s="92"/>
      <c r="V120" s="92"/>
      <c r="W120" s="37"/>
      <c r="X120" s="37"/>
      <c r="Y120" s="37"/>
      <c r="Z120" s="37"/>
      <c r="AA120" s="43"/>
      <c r="AB120" s="37"/>
      <c r="AC120" s="424"/>
      <c r="AD120" s="263"/>
      <c r="AE120" s="37"/>
      <c r="AF120" s="37"/>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37"/>
      <c r="BW120" s="37"/>
      <c r="BX120" s="37"/>
      <c r="BY120" s="37"/>
      <c r="BZ120" s="37"/>
      <c r="CA120" s="37"/>
      <c r="CB120" s="37"/>
      <c r="CC120" s="37"/>
      <c r="CD120" s="37"/>
      <c r="CE120" s="37"/>
    </row>
    <row r="121" customFormat="1" ht="24.75" customHeight="1" spans="1:83">
      <c r="A121" s="47"/>
      <c r="B121" s="37"/>
      <c r="C121" s="223"/>
      <c r="D121" s="327"/>
      <c r="E121" s="328" t="s">
        <v>623</v>
      </c>
      <c r="F121" s="328"/>
      <c r="G121" s="328"/>
      <c r="H121" s="328"/>
      <c r="I121" s="328"/>
      <c r="J121" s="328"/>
      <c r="K121" s="328"/>
      <c r="L121" s="328"/>
      <c r="M121" s="328"/>
      <c r="N121" s="328"/>
      <c r="O121" s="328"/>
      <c r="P121" s="328"/>
      <c r="Q121" s="390">
        <f>SUMIF(T122:T123,"i",Q122:Q123)</f>
        <v>0</v>
      </c>
      <c r="R121" s="391"/>
      <c r="S121" s="392" t="s">
        <v>624</v>
      </c>
      <c r="T121" s="389" t="s">
        <v>622</v>
      </c>
      <c r="U121" s="92">
        <v>1</v>
      </c>
      <c r="V121" s="92" t="s">
        <v>585</v>
      </c>
      <c r="W121" s="37"/>
      <c r="X121" s="37"/>
      <c r="Y121" s="37"/>
      <c r="Z121" s="37"/>
      <c r="AA121" s="43"/>
      <c r="AB121" s="37"/>
      <c r="AC121" s="424"/>
      <c r="AD121" s="263"/>
      <c r="AE121" s="37"/>
      <c r="AF121" s="37"/>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37"/>
      <c r="BW121" s="37"/>
      <c r="BX121" s="37"/>
      <c r="BY121" s="37"/>
      <c r="BZ121" s="37"/>
      <c r="CA121" s="37"/>
      <c r="CB121" s="37"/>
      <c r="CC121" s="37"/>
      <c r="CD121" s="37"/>
      <c r="CE121" s="37"/>
    </row>
    <row r="122" customFormat="1" ht="11.25" hidden="1" customHeight="1" spans="1:83">
      <c r="A122" s="92"/>
      <c r="B122" s="43"/>
      <c r="C122" s="43"/>
      <c r="D122" s="327"/>
      <c r="E122" s="329"/>
      <c r="F122" s="329">
        <v>0</v>
      </c>
      <c r="G122" s="329"/>
      <c r="H122" s="329"/>
      <c r="I122" s="329"/>
      <c r="J122" s="329"/>
      <c r="K122" s="329"/>
      <c r="L122" s="329"/>
      <c r="M122" s="329"/>
      <c r="N122" s="329"/>
      <c r="O122" s="329"/>
      <c r="P122" s="329"/>
      <c r="Q122" s="329"/>
      <c r="R122" s="329"/>
      <c r="S122" s="393"/>
      <c r="T122" s="394"/>
      <c r="U122" s="92"/>
      <c r="V122" s="92"/>
      <c r="W122" s="43"/>
      <c r="X122" s="43"/>
      <c r="Y122" s="43"/>
      <c r="Z122" s="43"/>
      <c r="AA122" s="43"/>
      <c r="AB122" s="37"/>
      <c r="AC122" s="424"/>
      <c r="AD122" s="263"/>
      <c r="AE122" s="37"/>
      <c r="AF122" s="37"/>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row>
    <row r="123" customFormat="1" ht="11.25" customHeight="1" spans="1:83">
      <c r="A123" s="47"/>
      <c r="B123" s="37"/>
      <c r="C123" s="223"/>
      <c r="D123" s="332"/>
      <c r="E123" s="330" t="s">
        <v>28</v>
      </c>
      <c r="F123" s="226" t="s">
        <v>28</v>
      </c>
      <c r="G123" s="226" t="s">
        <v>1950</v>
      </c>
      <c r="H123" s="331" t="s">
        <v>28</v>
      </c>
      <c r="I123" s="331"/>
      <c r="J123" s="331"/>
      <c r="K123" s="331"/>
      <c r="L123" s="331"/>
      <c r="M123" s="331"/>
      <c r="N123" s="331"/>
      <c r="O123" s="331"/>
      <c r="P123" s="331"/>
      <c r="Q123" s="331"/>
      <c r="R123" s="274"/>
      <c r="S123" s="395"/>
      <c r="T123" s="394"/>
      <c r="U123" s="92"/>
      <c r="V123" s="92"/>
      <c r="W123" s="37"/>
      <c r="X123" s="37"/>
      <c r="Y123" s="37"/>
      <c r="Z123" s="37"/>
      <c r="AA123" s="43"/>
      <c r="AB123" s="37"/>
      <c r="AC123" s="424"/>
      <c r="AD123" s="263"/>
      <c r="AE123" s="37"/>
      <c r="AF123" s="37"/>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37"/>
      <c r="BW123" s="37"/>
      <c r="BX123" s="37"/>
      <c r="BY123" s="37"/>
      <c r="BZ123" s="37"/>
      <c r="CA123" s="37"/>
      <c r="CB123" s="37"/>
      <c r="CC123" s="37"/>
      <c r="CD123" s="37"/>
      <c r="CE123" s="37"/>
    </row>
    <row r="125" s="203" customFormat="1" ht="11.25" customHeight="1" spans="1:1">
      <c r="A125" s="203" t="s">
        <v>1951</v>
      </c>
    </row>
    <row r="127" customFormat="1" ht="15" customHeight="1" spans="1:83">
      <c r="A127" s="4"/>
      <c r="D127" s="322" t="s">
        <v>111</v>
      </c>
      <c r="E127" s="323" t="s">
        <v>107</v>
      </c>
      <c r="F127" s="324"/>
      <c r="G127" s="325"/>
      <c r="H127" s="326" t="str">
        <f>IF(A127="","",INDEX(DIFFERENTIATION_UNMERGE_VD,MATCH(A127,DIFFERENTIATION_ID_DIFF,0)))</f>
        <v/>
      </c>
      <c r="I127" s="326"/>
      <c r="J127" s="326"/>
      <c r="K127" s="326"/>
      <c r="L127" s="326"/>
      <c r="M127" s="326"/>
      <c r="N127" s="326"/>
      <c r="O127" s="326"/>
      <c r="P127" s="326"/>
      <c r="Q127" s="326"/>
      <c r="R127" s="326"/>
      <c r="S127" s="388"/>
      <c r="T127" s="389"/>
      <c r="U127" s="151"/>
      <c r="V127" s="151"/>
      <c r="W127" s="263"/>
      <c r="X127" s="263"/>
      <c r="Y127" s="263"/>
      <c r="Z127" s="263"/>
      <c r="AA127" s="151"/>
      <c r="AB127" s="263"/>
      <c r="AC127" s="424"/>
      <c r="AD127" s="263"/>
      <c r="AE127" s="425" t="s">
        <v>28</v>
      </c>
      <c r="AF127" s="425"/>
      <c r="AG127" s="430" t="s">
        <v>619</v>
      </c>
      <c r="AH127" s="431">
        <v>3</v>
      </c>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c r="BP127" s="151"/>
      <c r="BQ127" s="151"/>
      <c r="BR127" s="151"/>
      <c r="BS127" s="151"/>
      <c r="BT127" s="151"/>
      <c r="BU127" s="151"/>
      <c r="BV127" s="263"/>
      <c r="BW127" s="263"/>
      <c r="BX127" s="263"/>
      <c r="BY127" s="263"/>
      <c r="BZ127" s="263"/>
      <c r="CA127" s="263"/>
      <c r="CB127" s="263"/>
      <c r="CC127" s="263"/>
      <c r="CD127" s="263"/>
      <c r="CE127" s="263"/>
    </row>
    <row r="128" customFormat="1" ht="15" customHeight="1" spans="1:83">
      <c r="A128" s="4"/>
      <c r="D128" s="327"/>
      <c r="E128" s="323" t="s">
        <v>574</v>
      </c>
      <c r="F128" s="324"/>
      <c r="G128" s="325"/>
      <c r="H128" s="326" t="str">
        <f>IF(A127="","",INDEX(DIFFERENTIATION_UNMERGE_AREA,MATCH(A127,DIFFERENTIATION_ID_DIFF,0)))</f>
        <v/>
      </c>
      <c r="I128" s="326"/>
      <c r="J128" s="326"/>
      <c r="K128" s="326"/>
      <c r="L128" s="326"/>
      <c r="M128" s="326"/>
      <c r="N128" s="326"/>
      <c r="O128" s="326"/>
      <c r="P128" s="326"/>
      <c r="Q128" s="326"/>
      <c r="R128" s="326"/>
      <c r="S128" s="388"/>
      <c r="T128" s="389"/>
      <c r="U128" s="151"/>
      <c r="V128" s="151"/>
      <c r="W128" s="263"/>
      <c r="X128" s="263"/>
      <c r="Y128" s="263"/>
      <c r="Z128" s="263"/>
      <c r="AA128" s="151"/>
      <c r="AB128" s="263"/>
      <c r="AC128" s="424"/>
      <c r="AD128" s="263"/>
      <c r="AE128" s="425"/>
      <c r="AF128" s="425"/>
      <c r="AG128" s="430"/>
      <c r="AH128" s="43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151"/>
      <c r="BN128" s="151"/>
      <c r="BO128" s="151"/>
      <c r="BP128" s="151"/>
      <c r="BQ128" s="151"/>
      <c r="BR128" s="151"/>
      <c r="BS128" s="151"/>
      <c r="BT128" s="151"/>
      <c r="BU128" s="151"/>
      <c r="BV128" s="263"/>
      <c r="BW128" s="263"/>
      <c r="BX128" s="263"/>
      <c r="BY128" s="263"/>
      <c r="BZ128" s="263"/>
      <c r="CA128" s="263"/>
      <c r="CB128" s="263"/>
      <c r="CC128" s="263"/>
      <c r="CD128" s="263"/>
      <c r="CE128" s="263"/>
    </row>
    <row r="129" customFormat="1" ht="15" customHeight="1" spans="1:83">
      <c r="A129" s="4"/>
      <c r="D129" s="327"/>
      <c r="E129" s="323" t="s">
        <v>575</v>
      </c>
      <c r="F129" s="324"/>
      <c r="G129" s="325"/>
      <c r="H129" s="326" t="str">
        <f>IF(A127="","",INDEX(DIFFERENTIATION_UNMERGE_SYSTEM,MATCH(A127,DIFFERENTIATION_ID_DIFF,0)))</f>
        <v/>
      </c>
      <c r="I129" s="326"/>
      <c r="J129" s="326"/>
      <c r="K129" s="326"/>
      <c r="L129" s="326"/>
      <c r="M129" s="326"/>
      <c r="N129" s="326"/>
      <c r="O129" s="326"/>
      <c r="P129" s="326"/>
      <c r="Q129" s="326"/>
      <c r="R129" s="326"/>
      <c r="S129" s="388"/>
      <c r="T129" s="389"/>
      <c r="U129" s="151"/>
      <c r="V129" s="151"/>
      <c r="W129" s="263"/>
      <c r="X129" s="263"/>
      <c r="Y129" s="263"/>
      <c r="Z129" s="263"/>
      <c r="AA129" s="151"/>
      <c r="AB129" s="263"/>
      <c r="AC129" s="424"/>
      <c r="AD129" s="263"/>
      <c r="AE129" s="425"/>
      <c r="AF129" s="425"/>
      <c r="AG129" s="430"/>
      <c r="AH129" s="43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151"/>
      <c r="BN129" s="151"/>
      <c r="BO129" s="151"/>
      <c r="BP129" s="151"/>
      <c r="BQ129" s="151"/>
      <c r="BR129" s="151"/>
      <c r="BS129" s="151"/>
      <c r="BT129" s="151"/>
      <c r="BU129" s="151"/>
      <c r="BV129" s="263"/>
      <c r="BW129" s="263"/>
      <c r="BX129" s="263"/>
      <c r="BY129" s="263"/>
      <c r="BZ129" s="263"/>
      <c r="CA129" s="263"/>
      <c r="CB129" s="263"/>
      <c r="CC129" s="263"/>
      <c r="CD129" s="263"/>
      <c r="CE129" s="263"/>
    </row>
    <row r="130" customFormat="1" ht="24.75" customHeight="1" spans="1:83">
      <c r="A130" s="47"/>
      <c r="B130" s="37"/>
      <c r="C130" s="223"/>
      <c r="D130" s="327"/>
      <c r="E130" s="328" t="s">
        <v>620</v>
      </c>
      <c r="F130" s="328"/>
      <c r="G130" s="328"/>
      <c r="H130" s="328"/>
      <c r="I130" s="328"/>
      <c r="J130" s="328"/>
      <c r="K130" s="328"/>
      <c r="L130" s="328"/>
      <c r="M130" s="328"/>
      <c r="N130" s="328"/>
      <c r="O130" s="328"/>
      <c r="P130" s="328"/>
      <c r="Q130" s="390">
        <f>SUMIF(T131:T132,"i",Q131:Q132)</f>
        <v>0</v>
      </c>
      <c r="R130" s="391"/>
      <c r="S130" s="392" t="s">
        <v>621</v>
      </c>
      <c r="T130" s="389" t="s">
        <v>622</v>
      </c>
      <c r="U130" s="92">
        <v>1</v>
      </c>
      <c r="V130" s="92" t="s">
        <v>585</v>
      </c>
      <c r="W130" s="37"/>
      <c r="X130" s="37"/>
      <c r="Y130" s="37"/>
      <c r="Z130" s="37"/>
      <c r="AA130" s="43"/>
      <c r="AB130" s="37"/>
      <c r="AC130" s="424"/>
      <c r="AD130" s="263"/>
      <c r="AE130" s="37"/>
      <c r="AF130" s="37"/>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37"/>
      <c r="BW130" s="37"/>
      <c r="BX130" s="37"/>
      <c r="BY130" s="37"/>
      <c r="BZ130" s="37"/>
      <c r="CA130" s="37"/>
      <c r="CB130" s="37"/>
      <c r="CC130" s="37"/>
      <c r="CD130" s="37"/>
      <c r="CE130" s="37"/>
    </row>
    <row r="131" customFormat="1" ht="11.25" hidden="1" customHeight="1" spans="1:83">
      <c r="A131" s="92"/>
      <c r="B131" s="43"/>
      <c r="C131" s="43"/>
      <c r="D131" s="327"/>
      <c r="E131" s="329"/>
      <c r="F131" s="329">
        <v>0</v>
      </c>
      <c r="G131" s="329"/>
      <c r="H131" s="329"/>
      <c r="I131" s="329"/>
      <c r="J131" s="329"/>
      <c r="K131" s="329"/>
      <c r="L131" s="329"/>
      <c r="M131" s="329"/>
      <c r="N131" s="329"/>
      <c r="O131" s="329"/>
      <c r="P131" s="329"/>
      <c r="Q131" s="329"/>
      <c r="R131" s="329"/>
      <c r="S131" s="393"/>
      <c r="T131" s="394"/>
      <c r="U131" s="92"/>
      <c r="V131" s="92"/>
      <c r="W131" s="43"/>
      <c r="X131" s="43"/>
      <c r="Y131" s="43"/>
      <c r="Z131" s="43"/>
      <c r="AA131" s="43"/>
      <c r="AB131" s="37"/>
      <c r="AC131" s="424"/>
      <c r="AD131" s="263"/>
      <c r="AE131" s="37"/>
      <c r="AF131" s="37"/>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row>
    <row r="132" customFormat="1" ht="11.25" customHeight="1" spans="1:83">
      <c r="A132" s="47"/>
      <c r="B132" s="37"/>
      <c r="C132" s="223"/>
      <c r="D132" s="327"/>
      <c r="E132" s="330" t="s">
        <v>28</v>
      </c>
      <c r="F132" s="226" t="s">
        <v>28</v>
      </c>
      <c r="G132" s="226" t="s">
        <v>1950</v>
      </c>
      <c r="H132" s="331" t="s">
        <v>28</v>
      </c>
      <c r="I132" s="331"/>
      <c r="J132" s="331"/>
      <c r="K132" s="331"/>
      <c r="L132" s="331"/>
      <c r="M132" s="331"/>
      <c r="N132" s="331"/>
      <c r="O132" s="331"/>
      <c r="P132" s="331"/>
      <c r="Q132" s="331"/>
      <c r="R132" s="274"/>
      <c r="S132" s="395"/>
      <c r="T132" s="394"/>
      <c r="U132" s="92"/>
      <c r="V132" s="92"/>
      <c r="W132" s="37"/>
      <c r="X132" s="37"/>
      <c r="Y132" s="37"/>
      <c r="Z132" s="37"/>
      <c r="AA132" s="43"/>
      <c r="AB132" s="37"/>
      <c r="AC132" s="424"/>
      <c r="AD132" s="263"/>
      <c r="AE132" s="37"/>
      <c r="AF132" s="37"/>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37"/>
      <c r="BW132" s="37"/>
      <c r="BX132" s="37"/>
      <c r="BY132" s="37"/>
      <c r="BZ132" s="37"/>
      <c r="CA132" s="37"/>
      <c r="CB132" s="37"/>
      <c r="CC132" s="37"/>
      <c r="CD132" s="37"/>
      <c r="CE132" s="37"/>
    </row>
    <row r="133" s="151" customFormat="1" ht="5.25" hidden="1" customHeight="1" spans="1:83">
      <c r="A133" s="92"/>
      <c r="B133" s="43"/>
      <c r="C133" s="43"/>
      <c r="D133" s="327"/>
      <c r="E133" s="438"/>
      <c r="F133" s="438"/>
      <c r="G133" s="438"/>
      <c r="H133" s="438"/>
      <c r="I133" s="438"/>
      <c r="J133" s="438"/>
      <c r="K133" s="438"/>
      <c r="L133" s="438"/>
      <c r="M133" s="438"/>
      <c r="N133" s="438"/>
      <c r="O133" s="438"/>
      <c r="P133" s="438"/>
      <c r="Q133" s="484"/>
      <c r="R133" s="485"/>
      <c r="S133" s="329"/>
      <c r="T133" s="389" t="s">
        <v>622</v>
      </c>
      <c r="U133" s="92">
        <v>1</v>
      </c>
      <c r="V133" s="92" t="s">
        <v>585</v>
      </c>
      <c r="W133" s="43"/>
      <c r="X133" s="43"/>
      <c r="Y133" s="43"/>
      <c r="Z133" s="43"/>
      <c r="AA133" s="43"/>
      <c r="AB133" s="43"/>
      <c r="AC133" s="498"/>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row>
    <row r="134" s="151" customFormat="1" ht="5.25" hidden="1" customHeight="1" spans="1:83">
      <c r="A134" s="92"/>
      <c r="B134" s="43"/>
      <c r="C134" s="43"/>
      <c r="D134" s="327"/>
      <c r="E134" s="329"/>
      <c r="F134" s="329"/>
      <c r="G134" s="329"/>
      <c r="H134" s="329"/>
      <c r="I134" s="329"/>
      <c r="J134" s="329"/>
      <c r="K134" s="329"/>
      <c r="L134" s="329"/>
      <c r="M134" s="329"/>
      <c r="N134" s="329"/>
      <c r="O134" s="329"/>
      <c r="P134" s="329"/>
      <c r="Q134" s="329"/>
      <c r="R134" s="329"/>
      <c r="S134" s="393"/>
      <c r="T134" s="394"/>
      <c r="U134" s="92"/>
      <c r="V134" s="92"/>
      <c r="W134" s="43"/>
      <c r="X134" s="43"/>
      <c r="Y134" s="43"/>
      <c r="Z134" s="43"/>
      <c r="AA134" s="43"/>
      <c r="AB134" s="43"/>
      <c r="AC134" s="498"/>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row>
    <row r="135" s="151" customFormat="1" ht="5.25" hidden="1" customHeight="1" spans="1:83">
      <c r="A135" s="92"/>
      <c r="B135" s="43"/>
      <c r="C135" s="43"/>
      <c r="D135" s="332"/>
      <c r="E135" s="439"/>
      <c r="F135" s="440"/>
      <c r="G135" s="440"/>
      <c r="H135" s="441"/>
      <c r="I135" s="441"/>
      <c r="J135" s="441"/>
      <c r="K135" s="441"/>
      <c r="L135" s="441"/>
      <c r="M135" s="441"/>
      <c r="N135" s="441"/>
      <c r="O135" s="441"/>
      <c r="P135" s="441"/>
      <c r="Q135" s="441"/>
      <c r="R135" s="486"/>
      <c r="S135" s="487"/>
      <c r="T135" s="394"/>
      <c r="U135" s="92"/>
      <c r="V135" s="92"/>
      <c r="W135" s="43"/>
      <c r="X135" s="43"/>
      <c r="Y135" s="43"/>
      <c r="Z135" s="43"/>
      <c r="AA135" s="43"/>
      <c r="AB135" s="43"/>
      <c r="AC135" s="498"/>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row>
    <row r="136" ht="17.25" customHeight="1" spans="4:4">
      <c r="D136" s="442"/>
    </row>
    <row r="137" s="203" customFormat="1" ht="11.25" customHeight="1" spans="1:1">
      <c r="A137" s="203" t="s">
        <v>1952</v>
      </c>
    </row>
    <row r="139" customFormat="1" ht="45" customHeight="1" spans="1:20">
      <c r="A139" s="47"/>
      <c r="B139" s="37"/>
      <c r="C139" s="223"/>
      <c r="E139" s="443"/>
      <c r="F139" s="231" t="s">
        <v>111</v>
      </c>
      <c r="G139" s="444" t="s">
        <v>28</v>
      </c>
      <c r="H139" s="82"/>
      <c r="I139" s="463" t="s">
        <v>111</v>
      </c>
      <c r="J139" s="464" t="s">
        <v>1953</v>
      </c>
      <c r="K139" s="465" t="s">
        <v>556</v>
      </c>
      <c r="L139" s="466" t="s">
        <v>556</v>
      </c>
      <c r="M139" s="130"/>
      <c r="N139" s="465" t="s">
        <v>556</v>
      </c>
      <c r="O139" s="465" t="s">
        <v>556</v>
      </c>
      <c r="P139" s="465" t="s">
        <v>556</v>
      </c>
      <c r="Q139" s="488">
        <f>SUM(Q140:Q142)</f>
        <v>0</v>
      </c>
      <c r="R139" s="488">
        <f>IF(R136=0,0,(Q136/R136)*100)</f>
        <v>0</v>
      </c>
      <c r="S139" s="392"/>
      <c r="T139" s="389" t="s">
        <v>622</v>
      </c>
    </row>
    <row r="140" customFormat="1" ht="11.25" customHeight="1" spans="1:20">
      <c r="A140" s="47"/>
      <c r="B140" s="37"/>
      <c r="C140" s="223"/>
      <c r="E140" s="303"/>
      <c r="F140" s="231"/>
      <c r="G140" s="444"/>
      <c r="H140" s="63"/>
      <c r="I140" s="277" t="s">
        <v>1031</v>
      </c>
      <c r="J140" s="467"/>
      <c r="K140" s="468"/>
      <c r="L140" s="469"/>
      <c r="M140" s="470" t="s">
        <v>111</v>
      </c>
      <c r="N140" s="252"/>
      <c r="O140" s="262"/>
      <c r="P140" s="142"/>
      <c r="Q140" s="262"/>
      <c r="R140" s="489">
        <v>0</v>
      </c>
      <c r="S140" s="392"/>
      <c r="T140" s="389"/>
    </row>
    <row r="141" customFormat="1" ht="11.25" customHeight="1" spans="1:20">
      <c r="A141" s="47"/>
      <c r="B141" s="37"/>
      <c r="C141" s="223"/>
      <c r="E141" s="303"/>
      <c r="F141" s="231"/>
      <c r="G141" s="444"/>
      <c r="H141" s="63"/>
      <c r="I141" s="277"/>
      <c r="J141" s="467"/>
      <c r="K141" s="252"/>
      <c r="L141" s="447"/>
      <c r="M141" s="471"/>
      <c r="N141" s="331" t="s">
        <v>1954</v>
      </c>
      <c r="O141" s="331"/>
      <c r="P141" s="331"/>
      <c r="Q141" s="331"/>
      <c r="R141" s="274"/>
      <c r="S141" s="392"/>
      <c r="T141" s="389"/>
    </row>
    <row r="142" customFormat="1" ht="11.25" customHeight="1" spans="1:20">
      <c r="A142" s="47"/>
      <c r="B142" s="37"/>
      <c r="C142" s="223"/>
      <c r="E142" s="445"/>
      <c r="F142" s="231"/>
      <c r="G142" s="446"/>
      <c r="H142" s="447" t="s">
        <v>28</v>
      </c>
      <c r="I142" s="471"/>
      <c r="J142" s="331" t="s">
        <v>1955</v>
      </c>
      <c r="K142" s="331"/>
      <c r="L142" s="331"/>
      <c r="M142" s="331"/>
      <c r="N142" s="331"/>
      <c r="O142" s="331"/>
      <c r="P142" s="331"/>
      <c r="Q142" s="331"/>
      <c r="R142" s="274"/>
      <c r="S142" s="392"/>
      <c r="T142" s="389"/>
    </row>
    <row r="147" customFormat="1" ht="11.25" customHeight="1" spans="1:20">
      <c r="A147" s="47"/>
      <c r="B147" s="37"/>
      <c r="C147" s="223"/>
      <c r="E147" s="313"/>
      <c r="F147" s="313"/>
      <c r="G147" s="313"/>
      <c r="H147" s="63"/>
      <c r="I147" s="277" t="s">
        <v>1031</v>
      </c>
      <c r="J147" s="467"/>
      <c r="K147" s="468"/>
      <c r="L147" s="469"/>
      <c r="M147" s="470" t="s">
        <v>111</v>
      </c>
      <c r="N147" s="252"/>
      <c r="O147" s="262"/>
      <c r="P147" s="142"/>
      <c r="Q147" s="262"/>
      <c r="R147" s="489">
        <v>0</v>
      </c>
      <c r="T147" s="389"/>
    </row>
    <row r="148" customFormat="1" ht="11.25" customHeight="1" spans="1:20">
      <c r="A148" s="47"/>
      <c r="B148" s="37"/>
      <c r="C148" s="223"/>
      <c r="E148" s="313"/>
      <c r="F148" s="313"/>
      <c r="G148" s="313"/>
      <c r="H148" s="63"/>
      <c r="I148" s="277"/>
      <c r="J148" s="467"/>
      <c r="K148" s="252"/>
      <c r="L148" s="447"/>
      <c r="M148" s="471"/>
      <c r="N148" s="331" t="s">
        <v>1954</v>
      </c>
      <c r="O148" s="331"/>
      <c r="P148" s="331"/>
      <c r="Q148" s="331"/>
      <c r="R148" s="274"/>
      <c r="T148" s="389"/>
    </row>
    <row r="150" customFormat="1" ht="11.25" customHeight="1" spans="1:20">
      <c r="A150" s="47"/>
      <c r="B150" s="37"/>
      <c r="C150" s="223"/>
      <c r="E150" s="448"/>
      <c r="H150" s="114"/>
      <c r="I150" s="313"/>
      <c r="J150" s="365"/>
      <c r="K150" s="365"/>
      <c r="L150" s="469"/>
      <c r="M150" s="470" t="s">
        <v>111</v>
      </c>
      <c r="N150" s="252"/>
      <c r="O150" s="262"/>
      <c r="P150" s="142"/>
      <c r="Q150" s="262"/>
      <c r="R150" s="489">
        <v>0</v>
      </c>
      <c r="T150" s="389"/>
    </row>
    <row r="152" s="203" customFormat="1" ht="17.25" customHeight="1" spans="1:1">
      <c r="A152" s="203" t="s">
        <v>1956</v>
      </c>
    </row>
    <row r="153" ht="17.25" customHeight="1" spans="7:9">
      <c r="G153" s="449"/>
      <c r="H153" s="449"/>
      <c r="I153" s="449"/>
    </row>
    <row r="154" s="35" customFormat="1" ht="17.25" customHeight="1" spans="1:43">
      <c r="A154" s="450"/>
      <c r="C154" s="216"/>
      <c r="D154" s="451"/>
      <c r="E154" s="452"/>
      <c r="F154" s="453"/>
      <c r="G154" s="454"/>
      <c r="H154" s="451"/>
      <c r="I154" s="451">
        <v>1</v>
      </c>
      <c r="J154" s="214"/>
      <c r="K154" s="472" t="s">
        <v>62</v>
      </c>
      <c r="L154" s="231"/>
      <c r="M154" s="231" t="s">
        <v>111</v>
      </c>
      <c r="N154" s="473" t="str">
        <f>IF(Z154="","",INDEX(TERRITORY_MR_LIST,MATCH(Z154,TERRITORY_LIST_ID,0)))</f>
        <v/>
      </c>
      <c r="O154" s="472" t="s">
        <v>62</v>
      </c>
      <c r="P154" s="231"/>
      <c r="Q154" s="231" t="s">
        <v>111</v>
      </c>
      <c r="R154" s="252" t="s">
        <v>28</v>
      </c>
      <c r="S154" s="139" t="s">
        <v>62</v>
      </c>
      <c r="T154" s="231"/>
      <c r="U154" s="231" t="s">
        <v>111</v>
      </c>
      <c r="V154" s="252" t="s">
        <v>28</v>
      </c>
      <c r="W154" s="214"/>
      <c r="Y154" s="499"/>
      <c r="Z154" s="499"/>
      <c r="AA154" s="499"/>
      <c r="AB154" s="499"/>
      <c r="AC154" s="499"/>
      <c r="AD154" s="499"/>
      <c r="AE154" s="499"/>
      <c r="AF154" s="499"/>
      <c r="AG154" s="499"/>
      <c r="AH154" s="499"/>
      <c r="AI154" s="499"/>
      <c r="AJ154" s="499"/>
      <c r="AK154" s="499"/>
      <c r="AL154" s="501"/>
      <c r="AM154" s="501"/>
      <c r="AN154" s="499"/>
      <c r="AO154" s="499"/>
      <c r="AP154" s="499"/>
      <c r="AQ154" s="499"/>
    </row>
    <row r="155" s="35" customFormat="1" ht="17.25" customHeight="1" spans="1:37">
      <c r="A155" s="450"/>
      <c r="D155" s="451"/>
      <c r="E155" s="452"/>
      <c r="F155" s="455"/>
      <c r="G155" s="454"/>
      <c r="H155" s="451"/>
      <c r="I155" s="451"/>
      <c r="J155" s="214"/>
      <c r="K155" s="474"/>
      <c r="L155" s="231"/>
      <c r="M155" s="231"/>
      <c r="N155" s="473"/>
      <c r="O155" s="474"/>
      <c r="P155" s="231"/>
      <c r="Q155" s="231"/>
      <c r="R155" s="252"/>
      <c r="S155" s="139"/>
      <c r="T155" s="459"/>
      <c r="U155" s="478"/>
      <c r="V155" s="478" t="s">
        <v>419</v>
      </c>
      <c r="W155" s="490"/>
      <c r="Y155" s="500"/>
      <c r="Z155" s="500"/>
      <c r="AA155" s="500"/>
      <c r="AB155" s="500"/>
      <c r="AC155" s="500"/>
      <c r="AD155" s="500"/>
      <c r="AE155" s="500"/>
      <c r="AF155" s="500"/>
      <c r="AG155" s="500"/>
      <c r="AH155" s="500"/>
      <c r="AI155" s="500"/>
      <c r="AJ155" s="500"/>
      <c r="AK155" s="500"/>
    </row>
    <row r="156" s="35" customFormat="1" ht="17.25" customHeight="1" spans="1:37">
      <c r="A156" s="450"/>
      <c r="D156" s="21"/>
      <c r="E156" s="456"/>
      <c r="F156" s="455"/>
      <c r="G156" s="457"/>
      <c r="H156" s="21"/>
      <c r="I156" s="21"/>
      <c r="J156" s="475"/>
      <c r="K156" s="474"/>
      <c r="L156" s="21"/>
      <c r="M156" s="21"/>
      <c r="N156" s="476"/>
      <c r="O156" s="477"/>
      <c r="P156" s="459"/>
      <c r="Q156" s="478"/>
      <c r="R156" s="478" t="s">
        <v>251</v>
      </c>
      <c r="S156" s="491"/>
      <c r="T156" s="491"/>
      <c r="U156" s="491"/>
      <c r="V156" s="491"/>
      <c r="W156" s="490"/>
      <c r="Y156" s="500"/>
      <c r="Z156" s="500"/>
      <c r="AA156" s="500"/>
      <c r="AB156" s="500"/>
      <c r="AC156" s="500"/>
      <c r="AD156" s="500"/>
      <c r="AE156" s="500"/>
      <c r="AF156" s="500"/>
      <c r="AG156" s="500"/>
      <c r="AH156" s="500"/>
      <c r="AI156" s="500"/>
      <c r="AJ156" s="500"/>
      <c r="AK156" s="500"/>
    </row>
    <row r="157" s="35" customFormat="1" ht="17.25" customHeight="1" spans="1:37">
      <c r="A157" s="450"/>
      <c r="D157" s="21"/>
      <c r="E157" s="456"/>
      <c r="F157" s="455"/>
      <c r="G157" s="457"/>
      <c r="H157" s="21"/>
      <c r="I157" s="21"/>
      <c r="J157" s="475"/>
      <c r="K157" s="477"/>
      <c r="L157" s="459"/>
      <c r="M157" s="478"/>
      <c r="N157" s="478" t="s">
        <v>252</v>
      </c>
      <c r="O157" s="478"/>
      <c r="P157" s="478"/>
      <c r="Q157" s="478"/>
      <c r="R157" s="478"/>
      <c r="S157" s="491"/>
      <c r="T157" s="491"/>
      <c r="U157" s="491"/>
      <c r="V157" s="491"/>
      <c r="W157" s="490"/>
      <c r="Y157" s="500"/>
      <c r="Z157" s="500"/>
      <c r="AA157" s="500"/>
      <c r="AB157" s="500"/>
      <c r="AC157" s="500"/>
      <c r="AD157" s="500"/>
      <c r="AE157" s="500"/>
      <c r="AF157" s="500"/>
      <c r="AG157" s="500"/>
      <c r="AH157" s="500"/>
      <c r="AI157" s="500"/>
      <c r="AJ157" s="500"/>
      <c r="AK157" s="500"/>
    </row>
    <row r="158" s="35" customFormat="1" ht="17.25" customHeight="1" spans="1:37">
      <c r="A158" s="450"/>
      <c r="D158" s="21"/>
      <c r="E158" s="456"/>
      <c r="F158" s="458"/>
      <c r="G158" s="457"/>
      <c r="H158" s="459"/>
      <c r="I158" s="478"/>
      <c r="J158" s="478" t="s">
        <v>253</v>
      </c>
      <c r="K158" s="478"/>
      <c r="L158" s="478"/>
      <c r="M158" s="478"/>
      <c r="N158" s="478"/>
      <c r="O158" s="478"/>
      <c r="P158" s="478"/>
      <c r="Q158" s="478"/>
      <c r="R158" s="478"/>
      <c r="S158" s="491"/>
      <c r="T158" s="491"/>
      <c r="U158" s="491"/>
      <c r="V158" s="491"/>
      <c r="W158" s="490"/>
      <c r="Y158" s="500"/>
      <c r="Z158" s="500"/>
      <c r="AA158" s="500"/>
      <c r="AB158" s="500"/>
      <c r="AC158" s="500"/>
      <c r="AD158" s="500"/>
      <c r="AE158" s="500"/>
      <c r="AF158" s="500"/>
      <c r="AG158" s="500"/>
      <c r="AH158" s="500"/>
      <c r="AI158" s="500"/>
      <c r="AJ158" s="500"/>
      <c r="AK158" s="500"/>
    </row>
    <row r="159" ht="17.25" customHeight="1" spans="7:9">
      <c r="G159" s="449"/>
      <c r="H159" s="449"/>
      <c r="I159" s="449"/>
    </row>
    <row r="160" s="35" customFormat="1" ht="17.25" customHeight="1" spans="1:43">
      <c r="A160" s="450"/>
      <c r="C160" s="216"/>
      <c r="D160" s="313"/>
      <c r="E160" s="460"/>
      <c r="F160" s="455"/>
      <c r="G160" s="461"/>
      <c r="H160" s="451"/>
      <c r="I160" s="451">
        <v>1</v>
      </c>
      <c r="J160" s="214"/>
      <c r="K160" s="472" t="s">
        <v>62</v>
      </c>
      <c r="L160" s="231"/>
      <c r="M160" s="231" t="s">
        <v>111</v>
      </c>
      <c r="N160" s="473" t="str">
        <f>IF(Z160="","",INDEX(TERRITORY_MR_LIST,MATCH(Z160,TERRITORY_LIST_ID,0)))</f>
        <v/>
      </c>
      <c r="O160" s="472" t="s">
        <v>62</v>
      </c>
      <c r="P160" s="231"/>
      <c r="Q160" s="231" t="s">
        <v>111</v>
      </c>
      <c r="R160" s="252" t="s">
        <v>28</v>
      </c>
      <c r="S160" s="139" t="s">
        <v>62</v>
      </c>
      <c r="T160" s="231"/>
      <c r="U160" s="231" t="s">
        <v>111</v>
      </c>
      <c r="V160" s="252" t="s">
        <v>28</v>
      </c>
      <c r="W160" s="214"/>
      <c r="Y160" s="499"/>
      <c r="Z160" s="499"/>
      <c r="AA160" s="499"/>
      <c r="AB160" s="499"/>
      <c r="AC160" s="499"/>
      <c r="AD160" s="499"/>
      <c r="AE160" s="499"/>
      <c r="AF160" s="499"/>
      <c r="AG160" s="499"/>
      <c r="AH160" s="499"/>
      <c r="AI160" s="499"/>
      <c r="AJ160" s="499"/>
      <c r="AK160" s="499"/>
      <c r="AL160" s="501"/>
      <c r="AM160" s="501"/>
      <c r="AN160" s="499"/>
      <c r="AO160" s="499"/>
      <c r="AP160" s="499"/>
      <c r="AQ160" s="499"/>
    </row>
    <row r="161" s="35" customFormat="1" ht="17.25" customHeight="1" spans="1:37">
      <c r="A161" s="450"/>
      <c r="D161" s="313"/>
      <c r="E161" s="460"/>
      <c r="F161" s="455"/>
      <c r="G161" s="461"/>
      <c r="H161" s="451"/>
      <c r="I161" s="451"/>
      <c r="J161" s="214"/>
      <c r="K161" s="474"/>
      <c r="L161" s="231"/>
      <c r="M161" s="231"/>
      <c r="N161" s="473"/>
      <c r="O161" s="474"/>
      <c r="P161" s="231"/>
      <c r="Q161" s="231"/>
      <c r="R161" s="252"/>
      <c r="S161" s="139"/>
      <c r="T161" s="459"/>
      <c r="U161" s="478"/>
      <c r="V161" s="478" t="s">
        <v>419</v>
      </c>
      <c r="W161" s="490"/>
      <c r="Y161" s="500"/>
      <c r="Z161" s="500"/>
      <c r="AA161" s="500"/>
      <c r="AB161" s="500"/>
      <c r="AC161" s="500"/>
      <c r="AD161" s="500"/>
      <c r="AE161" s="500"/>
      <c r="AF161" s="500"/>
      <c r="AG161" s="500"/>
      <c r="AH161" s="500"/>
      <c r="AI161" s="500"/>
      <c r="AJ161" s="500"/>
      <c r="AK161" s="500"/>
    </row>
    <row r="162" s="35" customFormat="1" ht="17.25" customHeight="1" spans="1:37">
      <c r="A162" s="450"/>
      <c r="D162" s="313"/>
      <c r="E162" s="460"/>
      <c r="F162" s="455"/>
      <c r="G162" s="461"/>
      <c r="H162" s="21"/>
      <c r="I162" s="21"/>
      <c r="J162" s="475"/>
      <c r="K162" s="474"/>
      <c r="L162" s="21"/>
      <c r="M162" s="21"/>
      <c r="N162" s="476"/>
      <c r="O162" s="477"/>
      <c r="P162" s="459"/>
      <c r="Q162" s="478"/>
      <c r="R162" s="478" t="s">
        <v>251</v>
      </c>
      <c r="S162" s="491"/>
      <c r="T162" s="491"/>
      <c r="U162" s="491"/>
      <c r="V162" s="491"/>
      <c r="W162" s="490"/>
      <c r="Y162" s="500"/>
      <c r="Z162" s="500"/>
      <c r="AA162" s="500"/>
      <c r="AB162" s="500"/>
      <c r="AC162" s="500"/>
      <c r="AD162" s="500"/>
      <c r="AE162" s="500"/>
      <c r="AF162" s="500"/>
      <c r="AG162" s="500"/>
      <c r="AH162" s="500"/>
      <c r="AI162" s="500"/>
      <c r="AJ162" s="500"/>
      <c r="AK162" s="500"/>
    </row>
    <row r="163" s="35" customFormat="1" ht="17.25" customHeight="1" spans="1:37">
      <c r="A163" s="450"/>
      <c r="D163" s="313"/>
      <c r="E163" s="460"/>
      <c r="F163" s="455"/>
      <c r="G163" s="461"/>
      <c r="H163" s="21"/>
      <c r="I163" s="21"/>
      <c r="J163" s="475"/>
      <c r="K163" s="477"/>
      <c r="L163" s="459"/>
      <c r="M163" s="478"/>
      <c r="N163" s="478" t="s">
        <v>252</v>
      </c>
      <c r="O163" s="478"/>
      <c r="P163" s="478"/>
      <c r="Q163" s="478"/>
      <c r="R163" s="478"/>
      <c r="S163" s="491"/>
      <c r="T163" s="491"/>
      <c r="U163" s="491"/>
      <c r="V163" s="491"/>
      <c r="W163" s="490"/>
      <c r="Y163" s="500"/>
      <c r="Z163" s="500"/>
      <c r="AA163" s="500"/>
      <c r="AB163" s="500"/>
      <c r="AC163" s="500"/>
      <c r="AD163" s="500"/>
      <c r="AE163" s="500"/>
      <c r="AF163" s="500"/>
      <c r="AG163" s="500"/>
      <c r="AH163" s="500"/>
      <c r="AI163" s="500"/>
      <c r="AJ163" s="500"/>
      <c r="AK163" s="500"/>
    </row>
    <row r="164" ht="17.25" customHeight="1" spans="7:9">
      <c r="G164" s="449"/>
      <c r="H164" s="449"/>
      <c r="I164" s="449"/>
    </row>
    <row r="165" s="35" customFormat="1" ht="17.25" customHeight="1" spans="1:43">
      <c r="A165" s="450"/>
      <c r="C165" s="216"/>
      <c r="D165" s="313"/>
      <c r="E165" s="460"/>
      <c r="F165" s="455"/>
      <c r="G165" s="461"/>
      <c r="H165" s="313"/>
      <c r="I165" s="313"/>
      <c r="J165" s="479"/>
      <c r="K165" s="480"/>
      <c r="L165" s="231"/>
      <c r="M165" s="231" t="s">
        <v>111</v>
      </c>
      <c r="N165" s="473" t="str">
        <f>IF(Z165="","",INDEX(TERRITORY_MR_LIST,MATCH(Z165,TERRITORY_LIST_ID,0)))</f>
        <v/>
      </c>
      <c r="O165" s="472" t="s">
        <v>62</v>
      </c>
      <c r="P165" s="231"/>
      <c r="Q165" s="231" t="s">
        <v>111</v>
      </c>
      <c r="R165" s="252" t="s">
        <v>28</v>
      </c>
      <c r="S165" s="139" t="s">
        <v>62</v>
      </c>
      <c r="T165" s="231"/>
      <c r="U165" s="231" t="s">
        <v>111</v>
      </c>
      <c r="V165" s="252" t="s">
        <v>28</v>
      </c>
      <c r="W165" s="214"/>
      <c r="Y165" s="499"/>
      <c r="Z165" s="499"/>
      <c r="AA165" s="499"/>
      <c r="AB165" s="499"/>
      <c r="AC165" s="499"/>
      <c r="AD165" s="499"/>
      <c r="AE165" s="499"/>
      <c r="AF165" s="499"/>
      <c r="AG165" s="499"/>
      <c r="AH165" s="499"/>
      <c r="AI165" s="499"/>
      <c r="AJ165" s="499"/>
      <c r="AK165" s="499"/>
      <c r="AL165" s="501"/>
      <c r="AM165" s="501"/>
      <c r="AN165" s="499"/>
      <c r="AO165" s="499"/>
      <c r="AP165" s="499"/>
      <c r="AQ165" s="499"/>
    </row>
    <row r="166" s="35" customFormat="1" ht="17.25" customHeight="1" spans="1:37">
      <c r="A166" s="450"/>
      <c r="D166" s="313"/>
      <c r="E166" s="460"/>
      <c r="F166" s="455"/>
      <c r="G166" s="461"/>
      <c r="H166" s="313"/>
      <c r="I166" s="313"/>
      <c r="J166" s="479"/>
      <c r="K166" s="480"/>
      <c r="L166" s="231"/>
      <c r="M166" s="231"/>
      <c r="N166" s="473"/>
      <c r="O166" s="474"/>
      <c r="P166" s="231"/>
      <c r="Q166" s="231"/>
      <c r="R166" s="252"/>
      <c r="S166" s="139"/>
      <c r="T166" s="459"/>
      <c r="U166" s="478"/>
      <c r="V166" s="478" t="s">
        <v>419</v>
      </c>
      <c r="W166" s="490"/>
      <c r="Y166" s="500"/>
      <c r="Z166" s="500"/>
      <c r="AA166" s="500"/>
      <c r="AB166" s="500"/>
      <c r="AC166" s="500"/>
      <c r="AD166" s="500"/>
      <c r="AE166" s="500"/>
      <c r="AF166" s="500"/>
      <c r="AG166" s="500"/>
      <c r="AH166" s="500"/>
      <c r="AI166" s="500"/>
      <c r="AJ166" s="500"/>
      <c r="AK166" s="500"/>
    </row>
    <row r="167" s="35" customFormat="1" ht="17.25" customHeight="1" spans="1:37">
      <c r="A167" s="450"/>
      <c r="D167" s="313"/>
      <c r="E167" s="460"/>
      <c r="F167" s="455"/>
      <c r="G167" s="461"/>
      <c r="H167" s="313"/>
      <c r="I167" s="313"/>
      <c r="J167" s="479"/>
      <c r="K167" s="480"/>
      <c r="L167" s="21"/>
      <c r="M167" s="21"/>
      <c r="N167" s="476"/>
      <c r="O167" s="477"/>
      <c r="P167" s="459"/>
      <c r="Q167" s="478"/>
      <c r="R167" s="478" t="s">
        <v>251</v>
      </c>
      <c r="S167" s="491"/>
      <c r="T167" s="491"/>
      <c r="U167" s="491"/>
      <c r="V167" s="491"/>
      <c r="W167" s="490"/>
      <c r="Y167" s="500"/>
      <c r="Z167" s="500"/>
      <c r="AA167" s="500"/>
      <c r="AB167" s="500"/>
      <c r="AC167" s="500"/>
      <c r="AD167" s="500"/>
      <c r="AE167" s="500"/>
      <c r="AF167" s="500"/>
      <c r="AG167" s="500"/>
      <c r="AH167" s="500"/>
      <c r="AI167" s="500"/>
      <c r="AJ167" s="500"/>
      <c r="AK167" s="500"/>
    </row>
    <row r="168" ht="17.25" customHeight="1" spans="7:9">
      <c r="G168" s="449"/>
      <c r="H168" s="449"/>
      <c r="I168" s="449"/>
    </row>
    <row r="169" s="35" customFormat="1" ht="17.25" customHeight="1" spans="1:43">
      <c r="A169" s="450"/>
      <c r="C169" s="216"/>
      <c r="D169" s="313"/>
      <c r="E169" s="460"/>
      <c r="F169" s="455"/>
      <c r="G169" s="461"/>
      <c r="H169" s="313"/>
      <c r="I169" s="313"/>
      <c r="J169" s="479"/>
      <c r="K169" s="480"/>
      <c r="L169" s="462"/>
      <c r="M169" s="462"/>
      <c r="N169" s="481"/>
      <c r="O169" s="474"/>
      <c r="P169" s="231"/>
      <c r="Q169" s="231" t="s">
        <v>111</v>
      </c>
      <c r="R169" s="252" t="s">
        <v>28</v>
      </c>
      <c r="S169" s="139" t="s">
        <v>62</v>
      </c>
      <c r="T169" s="231"/>
      <c r="U169" s="231" t="s">
        <v>111</v>
      </c>
      <c r="V169" s="252" t="s">
        <v>28</v>
      </c>
      <c r="W169" s="214"/>
      <c r="Y169" s="499"/>
      <c r="Z169" s="499"/>
      <c r="AA169" s="499"/>
      <c r="AB169" s="499"/>
      <c r="AC169" s="499"/>
      <c r="AD169" s="499"/>
      <c r="AE169" s="499"/>
      <c r="AF169" s="499"/>
      <c r="AG169" s="499"/>
      <c r="AH169" s="499"/>
      <c r="AI169" s="499"/>
      <c r="AJ169" s="499"/>
      <c r="AK169" s="499"/>
      <c r="AL169" s="501"/>
      <c r="AM169" s="501"/>
      <c r="AN169" s="499"/>
      <c r="AO169" s="499"/>
      <c r="AP169" s="499"/>
      <c r="AQ169" s="499"/>
    </row>
    <row r="170" s="35" customFormat="1" ht="17.25" customHeight="1" spans="1:37">
      <c r="A170" s="450"/>
      <c r="D170" s="313"/>
      <c r="E170" s="460"/>
      <c r="F170" s="455"/>
      <c r="G170" s="461"/>
      <c r="H170" s="313"/>
      <c r="I170" s="313"/>
      <c r="J170" s="479"/>
      <c r="K170" s="480"/>
      <c r="L170" s="462"/>
      <c r="M170" s="462"/>
      <c r="N170" s="481"/>
      <c r="O170" s="474"/>
      <c r="P170" s="231"/>
      <c r="Q170" s="231"/>
      <c r="R170" s="252"/>
      <c r="S170" s="139"/>
      <c r="T170" s="459"/>
      <c r="U170" s="478"/>
      <c r="V170" s="478" t="s">
        <v>419</v>
      </c>
      <c r="W170" s="490"/>
      <c r="Y170" s="500"/>
      <c r="Z170" s="500"/>
      <c r="AA170" s="500"/>
      <c r="AB170" s="500"/>
      <c r="AC170" s="500"/>
      <c r="AD170" s="500"/>
      <c r="AE170" s="500"/>
      <c r="AF170" s="500"/>
      <c r="AG170" s="500"/>
      <c r="AH170" s="500"/>
      <c r="AI170" s="500"/>
      <c r="AJ170" s="500"/>
      <c r="AK170" s="500"/>
    </row>
    <row r="171" ht="17.25" customHeight="1" spans="7:9">
      <c r="G171" s="449"/>
      <c r="H171" s="449"/>
      <c r="I171" s="449"/>
    </row>
    <row r="172" s="35" customFormat="1" ht="17.25" customHeight="1" spans="1:43">
      <c r="A172" s="450"/>
      <c r="C172" s="216"/>
      <c r="D172" s="313"/>
      <c r="E172" s="460"/>
      <c r="F172" s="455"/>
      <c r="G172" s="461"/>
      <c r="H172" s="462"/>
      <c r="I172" s="462"/>
      <c r="J172" s="482"/>
      <c r="K172" s="461"/>
      <c r="L172" s="462"/>
      <c r="M172" s="462"/>
      <c r="N172" s="461"/>
      <c r="O172" s="461"/>
      <c r="P172" s="462"/>
      <c r="Q172" s="462"/>
      <c r="R172" s="492"/>
      <c r="S172" s="461"/>
      <c r="T172" s="231"/>
      <c r="U172" s="231" t="s">
        <v>111</v>
      </c>
      <c r="V172" s="252" t="s">
        <v>28</v>
      </c>
      <c r="W172" s="214"/>
      <c r="Y172" s="499"/>
      <c r="Z172" s="499"/>
      <c r="AA172" s="499"/>
      <c r="AB172" s="499"/>
      <c r="AC172" s="499"/>
      <c r="AD172" s="499"/>
      <c r="AE172" s="499"/>
      <c r="AF172" s="499"/>
      <c r="AG172" s="499"/>
      <c r="AH172" s="499"/>
      <c r="AI172" s="499"/>
      <c r="AJ172" s="499"/>
      <c r="AK172" s="499"/>
      <c r="AL172" s="501"/>
      <c r="AM172" s="501"/>
      <c r="AN172" s="499"/>
      <c r="AO172" s="499"/>
      <c r="AP172" s="499"/>
      <c r="AQ172" s="499"/>
    </row>
    <row r="174" s="203" customFormat="1" ht="17.25" customHeight="1" spans="1:1">
      <c r="A174" s="203" t="s">
        <v>1957</v>
      </c>
    </row>
    <row r="175" ht="17.25" customHeight="1" spans="7:9">
      <c r="G175" s="449"/>
      <c r="H175" s="449"/>
      <c r="I175" s="449"/>
    </row>
    <row r="176" s="35" customFormat="1" ht="17.25" customHeight="1" spans="1:43">
      <c r="A176" s="450"/>
      <c r="C176" s="216"/>
      <c r="D176" s="451"/>
      <c r="E176" s="452"/>
      <c r="F176" s="453"/>
      <c r="G176" s="454"/>
      <c r="H176" s="451"/>
      <c r="I176" s="451">
        <v>1</v>
      </c>
      <c r="J176" s="214"/>
      <c r="K176" s="472" t="s">
        <v>62</v>
      </c>
      <c r="L176" s="231"/>
      <c r="M176" s="231" t="s">
        <v>111</v>
      </c>
      <c r="N176" s="473" t="str">
        <f>IF(Z176="","",INDEX(TERRITORY_MR_LIST,MATCH(Z176,TERRITORY_LIST_ID,0)))</f>
        <v/>
      </c>
      <c r="O176" s="472" t="s">
        <v>62</v>
      </c>
      <c r="P176" s="231"/>
      <c r="Q176" s="231" t="s">
        <v>111</v>
      </c>
      <c r="R176" s="252" t="s">
        <v>28</v>
      </c>
      <c r="S176" s="493" t="s">
        <v>19</v>
      </c>
      <c r="T176" s="493"/>
      <c r="U176" s="493" t="s">
        <v>111</v>
      </c>
      <c r="V176" s="494"/>
      <c r="W176" s="214"/>
      <c r="Y176" s="499"/>
      <c r="Z176" s="499"/>
      <c r="AA176" s="499"/>
      <c r="AB176" s="499"/>
      <c r="AC176" s="499"/>
      <c r="AD176" s="499"/>
      <c r="AE176" s="499"/>
      <c r="AF176" s="499"/>
      <c r="AG176" s="499"/>
      <c r="AH176" s="499"/>
      <c r="AI176" s="499"/>
      <c r="AJ176" s="499"/>
      <c r="AK176" s="499"/>
      <c r="AL176" s="501"/>
      <c r="AM176" s="501"/>
      <c r="AN176" s="499"/>
      <c r="AO176" s="499"/>
      <c r="AP176" s="499"/>
      <c r="AQ176" s="499"/>
    </row>
    <row r="177" s="35" customFormat="1" ht="17.25" customHeight="1" spans="1:37">
      <c r="A177" s="450"/>
      <c r="D177" s="451"/>
      <c r="E177" s="452"/>
      <c r="F177" s="455"/>
      <c r="G177" s="454"/>
      <c r="H177" s="451"/>
      <c r="I177" s="451"/>
      <c r="J177" s="214"/>
      <c r="K177" s="474"/>
      <c r="L177" s="231"/>
      <c r="M177" s="231"/>
      <c r="N177" s="473"/>
      <c r="O177" s="474"/>
      <c r="P177" s="231"/>
      <c r="Q177" s="231"/>
      <c r="R177" s="252"/>
      <c r="S177" s="493"/>
      <c r="T177" s="495"/>
      <c r="U177" s="496"/>
      <c r="V177" s="496"/>
      <c r="W177" s="214"/>
      <c r="Y177" s="500"/>
      <c r="Z177" s="500"/>
      <c r="AA177" s="500"/>
      <c r="AB177" s="500"/>
      <c r="AC177" s="500"/>
      <c r="AD177" s="500"/>
      <c r="AE177" s="500"/>
      <c r="AF177" s="500"/>
      <c r="AG177" s="500"/>
      <c r="AH177" s="500"/>
      <c r="AI177" s="500"/>
      <c r="AJ177" s="500"/>
      <c r="AK177" s="500"/>
    </row>
    <row r="178" s="35" customFormat="1" ht="17.25" customHeight="1" spans="1:37">
      <c r="A178" s="450"/>
      <c r="D178" s="21"/>
      <c r="E178" s="456"/>
      <c r="F178" s="455"/>
      <c r="G178" s="457"/>
      <c r="H178" s="21"/>
      <c r="I178" s="21"/>
      <c r="J178" s="475"/>
      <c r="K178" s="474"/>
      <c r="L178" s="21"/>
      <c r="M178" s="21"/>
      <c r="N178" s="476"/>
      <c r="O178" s="477"/>
      <c r="P178" s="459"/>
      <c r="Q178" s="478"/>
      <c r="R178" s="478" t="s">
        <v>251</v>
      </c>
      <c r="S178" s="491"/>
      <c r="T178" s="491"/>
      <c r="U178" s="491"/>
      <c r="V178" s="491"/>
      <c r="W178" s="497"/>
      <c r="Y178" s="500"/>
      <c r="Z178" s="500"/>
      <c r="AA178" s="500"/>
      <c r="AB178" s="500"/>
      <c r="AC178" s="500"/>
      <c r="AD178" s="500"/>
      <c r="AE178" s="500"/>
      <c r="AF178" s="500"/>
      <c r="AG178" s="500"/>
      <c r="AH178" s="500"/>
      <c r="AI178" s="500"/>
      <c r="AJ178" s="500"/>
      <c r="AK178" s="500"/>
    </row>
    <row r="179" s="35" customFormat="1" ht="17.25" customHeight="1" spans="1:37">
      <c r="A179" s="450"/>
      <c r="D179" s="21"/>
      <c r="E179" s="456"/>
      <c r="F179" s="455"/>
      <c r="G179" s="457"/>
      <c r="H179" s="21"/>
      <c r="I179" s="21"/>
      <c r="J179" s="475"/>
      <c r="K179" s="477"/>
      <c r="L179" s="459"/>
      <c r="M179" s="478"/>
      <c r="N179" s="478" t="s">
        <v>252</v>
      </c>
      <c r="O179" s="478"/>
      <c r="P179" s="478"/>
      <c r="Q179" s="478"/>
      <c r="R179" s="478"/>
      <c r="S179" s="491"/>
      <c r="T179" s="491"/>
      <c r="U179" s="491"/>
      <c r="V179" s="491"/>
      <c r="W179" s="490"/>
      <c r="Y179" s="500"/>
      <c r="Z179" s="500"/>
      <c r="AA179" s="500"/>
      <c r="AB179" s="500"/>
      <c r="AC179" s="500"/>
      <c r="AD179" s="500"/>
      <c r="AE179" s="500"/>
      <c r="AF179" s="500"/>
      <c r="AG179" s="500"/>
      <c r="AH179" s="500"/>
      <c r="AI179" s="500"/>
      <c r="AJ179" s="500"/>
      <c r="AK179" s="500"/>
    </row>
    <row r="180" s="35" customFormat="1" ht="17.25" customHeight="1" spans="1:37">
      <c r="A180" s="450"/>
      <c r="D180" s="21"/>
      <c r="E180" s="456"/>
      <c r="F180" s="458"/>
      <c r="G180" s="457"/>
      <c r="H180" s="459"/>
      <c r="I180" s="478"/>
      <c r="J180" s="478" t="s">
        <v>253</v>
      </c>
      <c r="K180" s="478"/>
      <c r="L180" s="478"/>
      <c r="M180" s="478"/>
      <c r="N180" s="478"/>
      <c r="O180" s="478"/>
      <c r="P180" s="478"/>
      <c r="Q180" s="478"/>
      <c r="R180" s="478"/>
      <c r="S180" s="491"/>
      <c r="T180" s="491"/>
      <c r="U180" s="491"/>
      <c r="V180" s="491"/>
      <c r="W180" s="490"/>
      <c r="Y180" s="500"/>
      <c r="Z180" s="500"/>
      <c r="AA180" s="500"/>
      <c r="AB180" s="500"/>
      <c r="AC180" s="500"/>
      <c r="AD180" s="500"/>
      <c r="AE180" s="500"/>
      <c r="AF180" s="500"/>
      <c r="AG180" s="500"/>
      <c r="AH180" s="500"/>
      <c r="AI180" s="500"/>
      <c r="AJ180" s="500"/>
      <c r="AK180" s="500"/>
    </row>
    <row r="181" ht="17.25" customHeight="1"/>
    <row r="182" s="35" customFormat="1" ht="17.25" customHeight="1" spans="1:43">
      <c r="A182" s="450"/>
      <c r="C182" s="216"/>
      <c r="D182" s="313"/>
      <c r="E182" s="460"/>
      <c r="F182" s="455"/>
      <c r="G182" s="461"/>
      <c r="H182" s="451"/>
      <c r="I182" s="451">
        <v>1</v>
      </c>
      <c r="J182" s="214"/>
      <c r="K182" s="472" t="s">
        <v>62</v>
      </c>
      <c r="L182" s="231"/>
      <c r="M182" s="231" t="s">
        <v>111</v>
      </c>
      <c r="N182" s="473" t="str">
        <f>IF(Z182="","",INDEX(TERRITORY_MR_LIST,MATCH(Z182,TERRITORY_LIST_ID,0)))</f>
        <v/>
      </c>
      <c r="O182" s="472" t="s">
        <v>62</v>
      </c>
      <c r="P182" s="231"/>
      <c r="Q182" s="231" t="s">
        <v>111</v>
      </c>
      <c r="R182" s="252" t="s">
        <v>28</v>
      </c>
      <c r="S182" s="493" t="s">
        <v>19</v>
      </c>
      <c r="T182" s="493"/>
      <c r="U182" s="493" t="s">
        <v>111</v>
      </c>
      <c r="V182" s="494"/>
      <c r="W182" s="214"/>
      <c r="Y182" s="499"/>
      <c r="Z182" s="499"/>
      <c r="AA182" s="499"/>
      <c r="AB182" s="499"/>
      <c r="AC182" s="499"/>
      <c r="AD182" s="499"/>
      <c r="AE182" s="499"/>
      <c r="AF182" s="499"/>
      <c r="AG182" s="499"/>
      <c r="AH182" s="499"/>
      <c r="AI182" s="499"/>
      <c r="AJ182" s="499"/>
      <c r="AK182" s="499"/>
      <c r="AL182" s="501"/>
      <c r="AM182" s="501"/>
      <c r="AN182" s="499"/>
      <c r="AO182" s="499"/>
      <c r="AP182" s="499"/>
      <c r="AQ182" s="499"/>
    </row>
    <row r="183" s="35" customFormat="1" ht="17.25" customHeight="1" spans="1:37">
      <c r="A183" s="450"/>
      <c r="D183" s="313"/>
      <c r="E183" s="460"/>
      <c r="F183" s="455"/>
      <c r="G183" s="461"/>
      <c r="H183" s="451"/>
      <c r="I183" s="451"/>
      <c r="J183" s="214"/>
      <c r="K183" s="474"/>
      <c r="L183" s="231"/>
      <c r="M183" s="231"/>
      <c r="N183" s="473"/>
      <c r="O183" s="474"/>
      <c r="P183" s="231"/>
      <c r="Q183" s="231"/>
      <c r="R183" s="252"/>
      <c r="S183" s="493"/>
      <c r="T183" s="495"/>
      <c r="U183" s="496"/>
      <c r="V183" s="496"/>
      <c r="W183" s="214"/>
      <c r="Y183" s="500"/>
      <c r="Z183" s="500"/>
      <c r="AA183" s="500"/>
      <c r="AB183" s="500"/>
      <c r="AC183" s="500"/>
      <c r="AD183" s="500"/>
      <c r="AE183" s="500"/>
      <c r="AF183" s="500"/>
      <c r="AG183" s="500"/>
      <c r="AH183" s="500"/>
      <c r="AI183" s="500"/>
      <c r="AJ183" s="500"/>
      <c r="AK183" s="500"/>
    </row>
    <row r="184" s="35" customFormat="1" ht="17.25" customHeight="1" spans="1:37">
      <c r="A184" s="450"/>
      <c r="D184" s="313"/>
      <c r="E184" s="460"/>
      <c r="F184" s="455"/>
      <c r="G184" s="461"/>
      <c r="H184" s="21"/>
      <c r="I184" s="21"/>
      <c r="J184" s="475"/>
      <c r="K184" s="474"/>
      <c r="L184" s="21"/>
      <c r="M184" s="21"/>
      <c r="N184" s="476"/>
      <c r="O184" s="477"/>
      <c r="P184" s="459"/>
      <c r="Q184" s="478"/>
      <c r="R184" s="478" t="s">
        <v>251</v>
      </c>
      <c r="S184" s="491"/>
      <c r="T184" s="491"/>
      <c r="U184" s="491"/>
      <c r="V184" s="491"/>
      <c r="W184" s="497"/>
      <c r="Y184" s="500"/>
      <c r="Z184" s="500"/>
      <c r="AA184" s="500"/>
      <c r="AB184" s="500"/>
      <c r="AC184" s="500"/>
      <c r="AD184" s="500"/>
      <c r="AE184" s="500"/>
      <c r="AF184" s="500"/>
      <c r="AG184" s="500"/>
      <c r="AH184" s="500"/>
      <c r="AI184" s="500"/>
      <c r="AJ184" s="500"/>
      <c r="AK184" s="500"/>
    </row>
    <row r="185" s="35" customFormat="1" ht="17.25" customHeight="1" spans="1:37">
      <c r="A185" s="450"/>
      <c r="D185" s="313"/>
      <c r="E185" s="460"/>
      <c r="F185" s="455"/>
      <c r="G185" s="461"/>
      <c r="H185" s="21"/>
      <c r="I185" s="21"/>
      <c r="J185" s="475"/>
      <c r="K185" s="477"/>
      <c r="L185" s="459"/>
      <c r="M185" s="478"/>
      <c r="N185" s="478" t="s">
        <v>252</v>
      </c>
      <c r="O185" s="478"/>
      <c r="P185" s="478"/>
      <c r="Q185" s="478"/>
      <c r="R185" s="478"/>
      <c r="S185" s="491"/>
      <c r="T185" s="491"/>
      <c r="U185" s="491"/>
      <c r="V185" s="491"/>
      <c r="W185" s="490"/>
      <c r="Y185" s="500"/>
      <c r="Z185" s="500"/>
      <c r="AA185" s="500"/>
      <c r="AB185" s="500"/>
      <c r="AC185" s="500"/>
      <c r="AD185" s="500"/>
      <c r="AE185" s="500"/>
      <c r="AF185" s="500"/>
      <c r="AG185" s="500"/>
      <c r="AH185" s="500"/>
      <c r="AI185" s="500"/>
      <c r="AJ185" s="500"/>
      <c r="AK185" s="500"/>
    </row>
    <row r="186" ht="17.25" customHeight="1"/>
    <row r="187" s="35" customFormat="1" ht="17.25" customHeight="1" spans="1:43">
      <c r="A187" s="450"/>
      <c r="C187" s="216"/>
      <c r="D187" s="313"/>
      <c r="E187" s="460"/>
      <c r="F187" s="455"/>
      <c r="G187" s="461"/>
      <c r="H187" s="313"/>
      <c r="I187" s="313"/>
      <c r="J187" s="483"/>
      <c r="K187" s="461"/>
      <c r="L187" s="231"/>
      <c r="M187" s="231" t="s">
        <v>111</v>
      </c>
      <c r="N187" s="473" t="str">
        <f>IF(Z187="","",INDEX(TERRITORY_MR_LIST,MATCH(Z187,TERRITORY_LIST_ID,0)))</f>
        <v/>
      </c>
      <c r="O187" s="472" t="s">
        <v>62</v>
      </c>
      <c r="P187" s="231"/>
      <c r="Q187" s="231" t="s">
        <v>111</v>
      </c>
      <c r="R187" s="252" t="s">
        <v>28</v>
      </c>
      <c r="S187" s="493" t="s">
        <v>19</v>
      </c>
      <c r="T187" s="493"/>
      <c r="U187" s="493" t="s">
        <v>111</v>
      </c>
      <c r="V187" s="494"/>
      <c r="W187" s="214"/>
      <c r="Y187" s="499"/>
      <c r="Z187" s="499"/>
      <c r="AA187" s="499"/>
      <c r="AB187" s="499"/>
      <c r="AC187" s="499"/>
      <c r="AD187" s="499"/>
      <c r="AE187" s="499"/>
      <c r="AF187" s="499"/>
      <c r="AG187" s="499"/>
      <c r="AH187" s="499"/>
      <c r="AI187" s="499"/>
      <c r="AJ187" s="499"/>
      <c r="AK187" s="499"/>
      <c r="AL187" s="501"/>
      <c r="AM187" s="501"/>
      <c r="AN187" s="499"/>
      <c r="AO187" s="499"/>
      <c r="AP187" s="499"/>
      <c r="AQ187" s="499"/>
    </row>
    <row r="188" s="35" customFormat="1" ht="17.25" customHeight="1" spans="1:37">
      <c r="A188" s="450"/>
      <c r="D188" s="313"/>
      <c r="E188" s="460"/>
      <c r="F188" s="455"/>
      <c r="G188" s="461"/>
      <c r="H188" s="313"/>
      <c r="I188" s="313"/>
      <c r="J188" s="483"/>
      <c r="K188" s="461"/>
      <c r="L188" s="231"/>
      <c r="M188" s="231"/>
      <c r="N188" s="473"/>
      <c r="O188" s="474"/>
      <c r="P188" s="231"/>
      <c r="Q188" s="231"/>
      <c r="R188" s="252"/>
      <c r="S188" s="493"/>
      <c r="T188" s="495"/>
      <c r="U188" s="496"/>
      <c r="V188" s="496"/>
      <c r="W188" s="214"/>
      <c r="Y188" s="500"/>
      <c r="Z188" s="500"/>
      <c r="AA188" s="500"/>
      <c r="AB188" s="500"/>
      <c r="AC188" s="500"/>
      <c r="AD188" s="500"/>
      <c r="AE188" s="500"/>
      <c r="AF188" s="500"/>
      <c r="AG188" s="500"/>
      <c r="AH188" s="500"/>
      <c r="AI188" s="500"/>
      <c r="AJ188" s="500"/>
      <c r="AK188" s="500"/>
    </row>
    <row r="189" s="35" customFormat="1" ht="17.25" customHeight="1" spans="1:37">
      <c r="A189" s="450"/>
      <c r="D189" s="313"/>
      <c r="E189" s="460"/>
      <c r="F189" s="455"/>
      <c r="G189" s="461"/>
      <c r="H189" s="313"/>
      <c r="I189" s="313"/>
      <c r="J189" s="483"/>
      <c r="K189" s="461"/>
      <c r="L189" s="21"/>
      <c r="M189" s="21"/>
      <c r="N189" s="476"/>
      <c r="O189" s="477"/>
      <c r="P189" s="459"/>
      <c r="Q189" s="478"/>
      <c r="R189" s="478" t="s">
        <v>251</v>
      </c>
      <c r="S189" s="491"/>
      <c r="T189" s="491"/>
      <c r="U189" s="491"/>
      <c r="V189" s="491"/>
      <c r="W189" s="497"/>
      <c r="Y189" s="500"/>
      <c r="Z189" s="500"/>
      <c r="AA189" s="500"/>
      <c r="AB189" s="500"/>
      <c r="AC189" s="500"/>
      <c r="AD189" s="500"/>
      <c r="AE189" s="500"/>
      <c r="AF189" s="500"/>
      <c r="AG189" s="500"/>
      <c r="AH189" s="500"/>
      <c r="AI189" s="500"/>
      <c r="AJ189" s="500"/>
      <c r="AK189" s="500"/>
    </row>
    <row r="190" ht="17.25" customHeight="1"/>
    <row r="191" s="35" customFormat="1" ht="17.25" customHeight="1" spans="1:43">
      <c r="A191" s="450"/>
      <c r="C191" s="216"/>
      <c r="D191" s="313"/>
      <c r="E191" s="460"/>
      <c r="F191" s="455"/>
      <c r="G191" s="461"/>
      <c r="H191" s="313"/>
      <c r="I191" s="313"/>
      <c r="J191" s="483"/>
      <c r="K191" s="461"/>
      <c r="L191" s="313"/>
      <c r="M191" s="313"/>
      <c r="N191" s="481"/>
      <c r="O191" s="474"/>
      <c r="P191" s="231"/>
      <c r="Q191" s="231" t="s">
        <v>111</v>
      </c>
      <c r="R191" s="252" t="s">
        <v>28</v>
      </c>
      <c r="S191" s="493" t="s">
        <v>19</v>
      </c>
      <c r="T191" s="493"/>
      <c r="U191" s="493" t="s">
        <v>111</v>
      </c>
      <c r="V191" s="494"/>
      <c r="W191" s="214"/>
      <c r="Y191" s="499"/>
      <c r="Z191" s="499"/>
      <c r="AA191" s="499"/>
      <c r="AB191" s="499"/>
      <c r="AC191" s="499"/>
      <c r="AD191" s="499"/>
      <c r="AE191" s="499"/>
      <c r="AF191" s="499"/>
      <c r="AG191" s="499"/>
      <c r="AH191" s="499"/>
      <c r="AI191" s="499"/>
      <c r="AJ191" s="499"/>
      <c r="AK191" s="499"/>
      <c r="AL191" s="501"/>
      <c r="AM191" s="501"/>
      <c r="AN191" s="499"/>
      <c r="AO191" s="499"/>
      <c r="AP191" s="499"/>
      <c r="AQ191" s="499"/>
    </row>
    <row r="192" s="35" customFormat="1" ht="17.25" customHeight="1" spans="1:37">
      <c r="A192" s="450"/>
      <c r="D192" s="313"/>
      <c r="E192" s="460"/>
      <c r="F192" s="455"/>
      <c r="G192" s="461"/>
      <c r="H192" s="313"/>
      <c r="I192" s="313"/>
      <c r="J192" s="483"/>
      <c r="K192" s="461"/>
      <c r="L192" s="313"/>
      <c r="M192" s="313"/>
      <c r="N192" s="481"/>
      <c r="O192" s="474"/>
      <c r="P192" s="231"/>
      <c r="Q192" s="231"/>
      <c r="R192" s="252"/>
      <c r="S192" s="493"/>
      <c r="T192" s="495"/>
      <c r="U192" s="496"/>
      <c r="V192" s="496"/>
      <c r="W192" s="214"/>
      <c r="Y192" s="500"/>
      <c r="Z192" s="500"/>
      <c r="AA192" s="500"/>
      <c r="AB192" s="500"/>
      <c r="AC192" s="500"/>
      <c r="AD192" s="500"/>
      <c r="AE192" s="500"/>
      <c r="AF192" s="500"/>
      <c r="AG192" s="500"/>
      <c r="AH192" s="500"/>
      <c r="AI192" s="500"/>
      <c r="AJ192" s="500"/>
      <c r="AK192" s="500"/>
    </row>
    <row r="193" ht="17.25" customHeight="1"/>
    <row r="194" ht="16.5" customHeight="1" spans="1:23">
      <c r="A194" s="450"/>
      <c r="B194" s="35"/>
      <c r="C194" s="35"/>
      <c r="D194" s="451"/>
      <c r="E194" s="392"/>
      <c r="F194" s="392"/>
      <c r="G194" s="63"/>
      <c r="H194" s="502"/>
      <c r="I194" s="513"/>
      <c r="J194" s="514"/>
      <c r="K194" s="515"/>
      <c r="L194" s="515"/>
      <c r="M194" s="515"/>
      <c r="N194" s="516"/>
      <c r="O194" s="515"/>
      <c r="P194" s="515"/>
      <c r="Q194" s="515"/>
      <c r="R194" s="535"/>
      <c r="S194" s="515"/>
      <c r="T194" s="515"/>
      <c r="U194" s="515"/>
      <c r="V194" s="535"/>
      <c r="W194" s="536"/>
    </row>
    <row r="195" ht="16.5" customHeight="1" spans="1:23">
      <c r="A195" s="450"/>
      <c r="B195" s="35"/>
      <c r="C195" s="35"/>
      <c r="D195" s="451"/>
      <c r="E195" s="392"/>
      <c r="F195" s="392"/>
      <c r="G195" s="63"/>
      <c r="H195" s="503"/>
      <c r="I195" s="517"/>
      <c r="J195" s="518"/>
      <c r="K195" s="519"/>
      <c r="L195" s="519"/>
      <c r="M195" s="519"/>
      <c r="N195" s="520"/>
      <c r="O195" s="519"/>
      <c r="P195" s="519"/>
      <c r="Q195" s="519"/>
      <c r="R195" s="521"/>
      <c r="S195" s="519"/>
      <c r="T195" s="522"/>
      <c r="U195" s="522"/>
      <c r="V195" s="522"/>
      <c r="W195" s="537"/>
    </row>
    <row r="196" ht="17.25" customHeight="1" spans="1:23">
      <c r="A196" s="450"/>
      <c r="B196" s="35"/>
      <c r="C196" s="35"/>
      <c r="D196" s="451"/>
      <c r="E196" s="392"/>
      <c r="F196" s="392"/>
      <c r="G196" s="63"/>
      <c r="H196" s="503"/>
      <c r="I196" s="517"/>
      <c r="J196" s="449"/>
      <c r="K196" s="519"/>
      <c r="L196" s="519"/>
      <c r="M196" s="519"/>
      <c r="N196" s="521"/>
      <c r="O196" s="519"/>
      <c r="P196" s="519"/>
      <c r="Q196" s="522"/>
      <c r="R196" s="522"/>
      <c r="S196" s="35"/>
      <c r="T196" s="35"/>
      <c r="U196" s="35"/>
      <c r="V196" s="35"/>
      <c r="W196" s="537"/>
    </row>
    <row r="197" ht="17.25" customHeight="1" spans="1:23">
      <c r="A197" s="450"/>
      <c r="B197" s="35"/>
      <c r="C197" s="35"/>
      <c r="D197" s="451"/>
      <c r="E197" s="392"/>
      <c r="F197" s="392"/>
      <c r="G197" s="63"/>
      <c r="H197" s="503"/>
      <c r="I197" s="517"/>
      <c r="J197" s="449"/>
      <c r="K197" s="519"/>
      <c r="L197" s="522"/>
      <c r="M197" s="522"/>
      <c r="N197" s="522"/>
      <c r="O197" s="522"/>
      <c r="P197" s="522"/>
      <c r="Q197" s="522"/>
      <c r="R197" s="522"/>
      <c r="S197" s="35"/>
      <c r="T197" s="35"/>
      <c r="U197" s="35"/>
      <c r="V197" s="35"/>
      <c r="W197" s="537"/>
    </row>
    <row r="198" ht="17.25" customHeight="1" spans="1:23">
      <c r="A198" s="450"/>
      <c r="B198" s="35"/>
      <c r="C198" s="35"/>
      <c r="D198" s="451"/>
      <c r="E198" s="392"/>
      <c r="F198" s="392"/>
      <c r="G198" s="63"/>
      <c r="H198" s="504"/>
      <c r="I198" s="523"/>
      <c r="J198" s="523"/>
      <c r="K198" s="523"/>
      <c r="L198" s="523"/>
      <c r="M198" s="523"/>
      <c r="N198" s="523"/>
      <c r="O198" s="523"/>
      <c r="P198" s="523"/>
      <c r="Q198" s="523"/>
      <c r="R198" s="523"/>
      <c r="S198" s="538"/>
      <c r="T198" s="538"/>
      <c r="U198" s="538"/>
      <c r="V198" s="538"/>
      <c r="W198" s="539"/>
    </row>
    <row r="200" s="203" customFormat="1" ht="17.25" customHeight="1" spans="1:1">
      <c r="A200" s="203" t="s">
        <v>1958</v>
      </c>
    </row>
    <row r="201" ht="17.25" customHeight="1" spans="7:9">
      <c r="G201" s="449"/>
      <c r="H201" s="449"/>
      <c r="I201" s="449"/>
    </row>
    <row r="202" customFormat="1" ht="15" customHeight="1" spans="4:35">
      <c r="D202" s="505"/>
      <c r="E202" s="397"/>
      <c r="F202" s="397"/>
      <c r="G202" s="472"/>
      <c r="H202" s="506"/>
      <c r="I202" s="524">
        <v>1</v>
      </c>
      <c r="J202" s="214"/>
      <c r="K202" s="525"/>
      <c r="L202" s="472" t="s">
        <v>62</v>
      </c>
      <c r="M202" s="472" t="s">
        <v>62</v>
      </c>
      <c r="N202" s="506"/>
      <c r="O202" s="231" t="s">
        <v>111</v>
      </c>
      <c r="P202" s="212"/>
      <c r="Q202" s="525"/>
      <c r="R202" s="472" t="s">
        <v>62</v>
      </c>
      <c r="S202" s="472" t="s">
        <v>62</v>
      </c>
      <c r="T202" s="540"/>
      <c r="U202" s="231" t="s">
        <v>111</v>
      </c>
      <c r="V202" s="541" t="str">
        <f>IF(AK202="","",INDEX(TERRITORY_MR_LIST,MATCH(AK202,TERRITORY_LIST_ID,0)))</f>
        <v/>
      </c>
      <c r="W202" s="322"/>
      <c r="X202" s="472" t="s">
        <v>62</v>
      </c>
      <c r="Y202" s="472" t="s">
        <v>19</v>
      </c>
      <c r="Z202" s="506"/>
      <c r="AA202" s="231" t="s">
        <v>111</v>
      </c>
      <c r="AB202" s="549"/>
      <c r="AC202" s="550"/>
      <c r="AD202" s="472" t="s">
        <v>62</v>
      </c>
      <c r="AE202" s="472" t="s">
        <v>19</v>
      </c>
      <c r="AF202" s="322"/>
      <c r="AG202" s="231" t="s">
        <v>111</v>
      </c>
      <c r="AH202" s="364"/>
      <c r="AI202" s="214"/>
    </row>
    <row r="203" customFormat="1" ht="15" customHeight="1" spans="4:35">
      <c r="D203" s="505"/>
      <c r="E203" s="397"/>
      <c r="F203" s="397"/>
      <c r="G203" s="474"/>
      <c r="H203" s="506"/>
      <c r="I203" s="524"/>
      <c r="J203" s="214"/>
      <c r="K203" s="526"/>
      <c r="L203" s="474"/>
      <c r="M203" s="474"/>
      <c r="N203" s="506"/>
      <c r="O203" s="231"/>
      <c r="P203" s="212"/>
      <c r="Q203" s="542"/>
      <c r="R203" s="474"/>
      <c r="S203" s="474"/>
      <c r="T203" s="540"/>
      <c r="U203" s="231"/>
      <c r="V203" s="543"/>
      <c r="W203" s="327"/>
      <c r="X203" s="474"/>
      <c r="Y203" s="474"/>
      <c r="Z203" s="506"/>
      <c r="AA203" s="231"/>
      <c r="AB203" s="551"/>
      <c r="AC203" s="328"/>
      <c r="AD203" s="477"/>
      <c r="AE203" s="477"/>
      <c r="AF203" s="552"/>
      <c r="AG203" s="459"/>
      <c r="AH203" s="478" t="s">
        <v>1959</v>
      </c>
      <c r="AI203" s="490"/>
    </row>
    <row r="204" customFormat="1" ht="15" customHeight="1" spans="4:35">
      <c r="D204" s="505"/>
      <c r="E204" s="397"/>
      <c r="F204" s="397"/>
      <c r="G204" s="474"/>
      <c r="H204" s="506"/>
      <c r="I204" s="524"/>
      <c r="J204" s="214"/>
      <c r="K204" s="526"/>
      <c r="L204" s="474"/>
      <c r="M204" s="474"/>
      <c r="N204" s="506"/>
      <c r="O204" s="231"/>
      <c r="P204" s="212"/>
      <c r="Q204" s="542"/>
      <c r="R204" s="474"/>
      <c r="S204" s="474"/>
      <c r="T204" s="540"/>
      <c r="U204" s="231"/>
      <c r="V204" s="543"/>
      <c r="W204" s="327"/>
      <c r="X204" s="474"/>
      <c r="Y204" s="474"/>
      <c r="Z204" s="327"/>
      <c r="AA204" s="529"/>
      <c r="AB204" s="553" t="s">
        <v>1960</v>
      </c>
      <c r="AC204" s="553"/>
      <c r="AD204" s="553"/>
      <c r="AE204" s="553"/>
      <c r="AF204" s="553"/>
      <c r="AG204" s="553"/>
      <c r="AH204" s="553"/>
      <c r="AI204" s="555"/>
    </row>
    <row r="205" customFormat="1" ht="15" customHeight="1" spans="4:35">
      <c r="D205" s="505"/>
      <c r="E205" s="397"/>
      <c r="F205" s="397"/>
      <c r="G205" s="474"/>
      <c r="H205" s="506"/>
      <c r="I205" s="524"/>
      <c r="J205" s="214"/>
      <c r="K205" s="526"/>
      <c r="L205" s="474"/>
      <c r="M205" s="474"/>
      <c r="N205" s="506"/>
      <c r="O205" s="231"/>
      <c r="P205" s="527"/>
      <c r="Q205" s="542"/>
      <c r="R205" s="474"/>
      <c r="S205" s="474"/>
      <c r="T205" s="544"/>
      <c r="U205" s="545"/>
      <c r="V205" s="478" t="s">
        <v>105</v>
      </c>
      <c r="W205" s="478"/>
      <c r="X205" s="478"/>
      <c r="Y205" s="478"/>
      <c r="Z205" s="478"/>
      <c r="AA205" s="478"/>
      <c r="AB205" s="478"/>
      <c r="AC205" s="478"/>
      <c r="AD205" s="478"/>
      <c r="AE205" s="478"/>
      <c r="AF205" s="478"/>
      <c r="AG205" s="478"/>
      <c r="AH205" s="478"/>
      <c r="AI205" s="490"/>
    </row>
    <row r="206" customFormat="1" ht="11.25" customHeight="1" spans="4:35">
      <c r="D206" s="505"/>
      <c r="E206" s="397"/>
      <c r="F206" s="397"/>
      <c r="G206" s="474"/>
      <c r="H206" s="462"/>
      <c r="I206" s="524"/>
      <c r="J206" s="528"/>
      <c r="K206" s="526"/>
      <c r="L206" s="474"/>
      <c r="M206" s="474"/>
      <c r="N206" s="462"/>
      <c r="O206" s="529"/>
      <c r="P206" s="478" t="s">
        <v>1961</v>
      </c>
      <c r="Q206" s="478"/>
      <c r="R206" s="478"/>
      <c r="S206" s="478"/>
      <c r="T206" s="478"/>
      <c r="U206" s="478"/>
      <c r="V206" s="478"/>
      <c r="W206" s="478"/>
      <c r="X206" s="478"/>
      <c r="Y206" s="478"/>
      <c r="Z206" s="478"/>
      <c r="AA206" s="478"/>
      <c r="AB206" s="478"/>
      <c r="AC206" s="478"/>
      <c r="AD206" s="478"/>
      <c r="AE206" s="478"/>
      <c r="AF206" s="478"/>
      <c r="AG206" s="478"/>
      <c r="AH206" s="478"/>
      <c r="AI206" s="490"/>
    </row>
    <row r="207" s="209" customFormat="1" ht="11.25" customHeight="1" spans="4:63">
      <c r="D207" s="505"/>
      <c r="E207" s="397"/>
      <c r="F207" s="397"/>
      <c r="G207" s="477"/>
      <c r="H207" s="507"/>
      <c r="I207" s="530"/>
      <c r="J207" s="478" t="s">
        <v>253</v>
      </c>
      <c r="K207" s="478"/>
      <c r="L207" s="478"/>
      <c r="M207" s="478"/>
      <c r="N207" s="478"/>
      <c r="O207" s="478"/>
      <c r="P207" s="478"/>
      <c r="Q207" s="478"/>
      <c r="R207" s="478"/>
      <c r="S207" s="478"/>
      <c r="T207" s="478"/>
      <c r="U207" s="478"/>
      <c r="V207" s="478"/>
      <c r="W207" s="478"/>
      <c r="X207" s="478"/>
      <c r="Y207" s="478"/>
      <c r="Z207" s="478"/>
      <c r="AA207" s="478"/>
      <c r="AB207" s="478"/>
      <c r="AC207" s="478"/>
      <c r="AD207" s="478"/>
      <c r="AE207" s="478"/>
      <c r="AF207" s="478"/>
      <c r="AG207" s="478"/>
      <c r="AH207" s="478"/>
      <c r="AI207" s="490"/>
      <c r="BK207"/>
    </row>
    <row r="208" ht="17.25" customHeight="1" spans="7:10">
      <c r="G208" s="449"/>
      <c r="I208" s="449"/>
      <c r="J208" s="449"/>
    </row>
    <row r="209" customFormat="1" ht="15" customHeight="1" spans="4:35">
      <c r="D209" s="505"/>
      <c r="E209" s="397"/>
      <c r="F209" s="397"/>
      <c r="G209" s="392"/>
      <c r="H209" s="508"/>
      <c r="I209" s="531"/>
      <c r="J209" s="514"/>
      <c r="K209" s="514"/>
      <c r="L209" s="515"/>
      <c r="M209" s="515"/>
      <c r="N209" s="532"/>
      <c r="O209" s="515"/>
      <c r="P209" s="514"/>
      <c r="Q209" s="514"/>
      <c r="R209" s="515"/>
      <c r="S209" s="515"/>
      <c r="T209" s="546"/>
      <c r="U209" s="515"/>
      <c r="V209" s="514"/>
      <c r="W209" s="515"/>
      <c r="X209" s="515"/>
      <c r="Y209" s="515"/>
      <c r="Z209" s="532"/>
      <c r="AA209" s="515"/>
      <c r="AB209" s="514"/>
      <c r="AC209" s="554"/>
      <c r="AD209" s="515"/>
      <c r="AE209" s="515"/>
      <c r="AF209" s="515"/>
      <c r="AG209" s="515"/>
      <c r="AH209" s="532"/>
      <c r="AI209" s="536"/>
    </row>
    <row r="210" customFormat="1" ht="15" customHeight="1" spans="4:35">
      <c r="D210" s="505"/>
      <c r="E210" s="397"/>
      <c r="F210" s="397"/>
      <c r="G210" s="392"/>
      <c r="H210" s="509"/>
      <c r="I210" s="533"/>
      <c r="J210" s="518"/>
      <c r="K210" s="41"/>
      <c r="L210" s="519"/>
      <c r="M210" s="519"/>
      <c r="N210" s="39"/>
      <c r="O210" s="519"/>
      <c r="P210" s="518"/>
      <c r="Q210" s="518"/>
      <c r="R210" s="519"/>
      <c r="S210" s="519"/>
      <c r="T210" s="547"/>
      <c r="U210" s="519"/>
      <c r="V210" s="518"/>
      <c r="W210" s="519"/>
      <c r="X210" s="519"/>
      <c r="Y210" s="519"/>
      <c r="Z210" s="39"/>
      <c r="AA210" s="519"/>
      <c r="AB210" s="518"/>
      <c r="AC210" s="41"/>
      <c r="AD210" s="519"/>
      <c r="AE210" s="519"/>
      <c r="AF210" s="522"/>
      <c r="AG210" s="522"/>
      <c r="AH210" s="522"/>
      <c r="AI210" s="537"/>
    </row>
    <row r="211" customFormat="1" ht="15" customHeight="1" spans="4:35">
      <c r="D211" s="505"/>
      <c r="E211" s="397"/>
      <c r="F211" s="397"/>
      <c r="G211" s="392"/>
      <c r="H211" s="509"/>
      <c r="I211" s="533"/>
      <c r="J211" s="518"/>
      <c r="K211" s="41"/>
      <c r="L211" s="519"/>
      <c r="M211" s="519"/>
      <c r="N211" s="39"/>
      <c r="O211" s="519"/>
      <c r="P211" s="518"/>
      <c r="Q211" s="518"/>
      <c r="R211" s="519"/>
      <c r="S211" s="519"/>
      <c r="T211" s="547"/>
      <c r="U211" s="519"/>
      <c r="V211" s="518"/>
      <c r="W211" s="519"/>
      <c r="X211" s="519"/>
      <c r="Y211" s="519"/>
      <c r="Z211" s="519"/>
      <c r="AA211" s="522"/>
      <c r="AB211" s="522"/>
      <c r="AC211" s="522"/>
      <c r="AD211" s="522"/>
      <c r="AE211" s="522"/>
      <c r="AF211" s="522"/>
      <c r="AG211" s="522"/>
      <c r="AH211" s="522"/>
      <c r="AI211" s="537"/>
    </row>
    <row r="212" customFormat="1" ht="15" customHeight="1" spans="4:35">
      <c r="D212" s="505"/>
      <c r="E212" s="397"/>
      <c r="F212" s="397"/>
      <c r="G212" s="392"/>
      <c r="H212" s="509"/>
      <c r="I212" s="533"/>
      <c r="J212" s="518"/>
      <c r="K212" s="41"/>
      <c r="L212" s="519"/>
      <c r="M212" s="519"/>
      <c r="N212" s="39"/>
      <c r="O212" s="519"/>
      <c r="P212" s="518"/>
      <c r="Q212" s="518"/>
      <c r="R212" s="519"/>
      <c r="S212" s="519"/>
      <c r="T212" s="264"/>
      <c r="U212" s="548"/>
      <c r="V212" s="522"/>
      <c r="W212" s="522"/>
      <c r="X212" s="522"/>
      <c r="Y212" s="522"/>
      <c r="Z212" s="522"/>
      <c r="AA212" s="522"/>
      <c r="AB212" s="522"/>
      <c r="AC212" s="522"/>
      <c r="AD212" s="522"/>
      <c r="AE212" s="522"/>
      <c r="AF212" s="522"/>
      <c r="AG212" s="522"/>
      <c r="AH212" s="522"/>
      <c r="AI212" s="537"/>
    </row>
    <row r="213" customFormat="1" ht="11.25" customHeight="1" spans="4:35">
      <c r="D213" s="505"/>
      <c r="E213" s="397"/>
      <c r="F213" s="397"/>
      <c r="G213" s="392"/>
      <c r="H213" s="510"/>
      <c r="I213" s="533"/>
      <c r="J213" s="518"/>
      <c r="K213" s="41"/>
      <c r="L213" s="519"/>
      <c r="M213" s="519"/>
      <c r="N213" s="522"/>
      <c r="O213" s="522"/>
      <c r="P213" s="522"/>
      <c r="Q213" s="522"/>
      <c r="R213" s="522"/>
      <c r="S213" s="522"/>
      <c r="T213" s="522"/>
      <c r="U213" s="522"/>
      <c r="V213" s="522"/>
      <c r="W213" s="522"/>
      <c r="X213" s="522"/>
      <c r="Y213" s="522"/>
      <c r="Z213" s="522"/>
      <c r="AA213" s="522"/>
      <c r="AB213" s="522"/>
      <c r="AC213" s="522"/>
      <c r="AD213" s="522"/>
      <c r="AE213" s="522"/>
      <c r="AF213" s="522"/>
      <c r="AG213" s="522"/>
      <c r="AH213" s="522"/>
      <c r="AI213" s="537"/>
    </row>
    <row r="214" s="209" customFormat="1" ht="11.25" customHeight="1" spans="4:63">
      <c r="D214" s="505"/>
      <c r="E214" s="397"/>
      <c r="F214" s="397"/>
      <c r="G214" s="511"/>
      <c r="H214" s="512"/>
      <c r="I214" s="534"/>
      <c r="J214" s="523"/>
      <c r="K214" s="523"/>
      <c r="L214" s="523"/>
      <c r="M214" s="523"/>
      <c r="N214" s="523"/>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39"/>
      <c r="BK214"/>
    </row>
    <row r="215" ht="17.25" customHeight="1"/>
  </sheetData>
  <sheetProtection formatColumns="0" formatRows="0" insertRows="0" deleteColumns="0" deleteRows="0" sort="0" autoFilter="0"/>
  <mergeCells count="287">
    <mergeCell ref="I87:K87"/>
    <mergeCell ref="E115:G115"/>
    <mergeCell ref="H115:R115"/>
    <mergeCell ref="E116:G116"/>
    <mergeCell ref="H116:R116"/>
    <mergeCell ref="E117:G117"/>
    <mergeCell ref="H117:R117"/>
    <mergeCell ref="E118:P118"/>
    <mergeCell ref="E121:P121"/>
    <mergeCell ref="E127:G127"/>
    <mergeCell ref="H127:R127"/>
    <mergeCell ref="E128:G128"/>
    <mergeCell ref="H128:R128"/>
    <mergeCell ref="E129:G129"/>
    <mergeCell ref="H129:R129"/>
    <mergeCell ref="E130:P130"/>
    <mergeCell ref="L139:M139"/>
    <mergeCell ref="AH203:AI203"/>
    <mergeCell ref="AB204:AI204"/>
    <mergeCell ref="V205:AI205"/>
    <mergeCell ref="P206:AI206"/>
    <mergeCell ref="J207:AI207"/>
    <mergeCell ref="AH210:AI210"/>
    <mergeCell ref="AB211:AI211"/>
    <mergeCell ref="V212:AI212"/>
    <mergeCell ref="P213:AI213"/>
    <mergeCell ref="J214:AI214"/>
    <mergeCell ref="A13:A15"/>
    <mergeCell ref="A47:A51"/>
    <mergeCell ref="C47:C51"/>
    <mergeCell ref="D23:D25"/>
    <mergeCell ref="D115:D123"/>
    <mergeCell ref="D127:D135"/>
    <mergeCell ref="D154:D158"/>
    <mergeCell ref="D176:D180"/>
    <mergeCell ref="D194:D198"/>
    <mergeCell ref="D202:D207"/>
    <mergeCell ref="D209:D214"/>
    <mergeCell ref="E23:E25"/>
    <mergeCell ref="E139:E142"/>
    <mergeCell ref="E154:E158"/>
    <mergeCell ref="E176:E180"/>
    <mergeCell ref="E194:E198"/>
    <mergeCell ref="E202:E207"/>
    <mergeCell ref="E209:E214"/>
    <mergeCell ref="F23:F25"/>
    <mergeCell ref="F72:F73"/>
    <mergeCell ref="F82:F87"/>
    <mergeCell ref="F139:F142"/>
    <mergeCell ref="F154:F158"/>
    <mergeCell ref="F176:F180"/>
    <mergeCell ref="F194:F198"/>
    <mergeCell ref="F202:F207"/>
    <mergeCell ref="F209:F214"/>
    <mergeCell ref="G23:G24"/>
    <mergeCell ref="G29:G30"/>
    <mergeCell ref="G72:G73"/>
    <mergeCell ref="G82:G86"/>
    <mergeCell ref="G139:G142"/>
    <mergeCell ref="G154:G158"/>
    <mergeCell ref="G176:G180"/>
    <mergeCell ref="G194:G198"/>
    <mergeCell ref="G202:G207"/>
    <mergeCell ref="G209:G214"/>
    <mergeCell ref="H23:H24"/>
    <mergeCell ref="H29:H30"/>
    <mergeCell ref="H72:H73"/>
    <mergeCell ref="H82:H86"/>
    <mergeCell ref="H101:H105"/>
    <mergeCell ref="H140:H141"/>
    <mergeCell ref="H147:H148"/>
    <mergeCell ref="H154:H157"/>
    <mergeCell ref="H160:H163"/>
    <mergeCell ref="H176:H179"/>
    <mergeCell ref="H182:H185"/>
    <mergeCell ref="H194:H197"/>
    <mergeCell ref="I23:I24"/>
    <mergeCell ref="I29:I30"/>
    <mergeCell ref="I72:I73"/>
    <mergeCell ref="I82:I86"/>
    <mergeCell ref="I101:I105"/>
    <mergeCell ref="I140:I141"/>
    <mergeCell ref="I147:I148"/>
    <mergeCell ref="I154:I157"/>
    <mergeCell ref="I160:I163"/>
    <mergeCell ref="I176:I179"/>
    <mergeCell ref="I182:I185"/>
    <mergeCell ref="I194:I197"/>
    <mergeCell ref="I202:I206"/>
    <mergeCell ref="I209:I213"/>
    <mergeCell ref="J23:J24"/>
    <mergeCell ref="J29:J30"/>
    <mergeCell ref="J72:J73"/>
    <mergeCell ref="J82:J86"/>
    <mergeCell ref="J101:J105"/>
    <mergeCell ref="J140:J141"/>
    <mergeCell ref="J147:J148"/>
    <mergeCell ref="J154:J157"/>
    <mergeCell ref="J160:J163"/>
    <mergeCell ref="J176:J179"/>
    <mergeCell ref="J182:J185"/>
    <mergeCell ref="J194:J197"/>
    <mergeCell ref="J202:J206"/>
    <mergeCell ref="J209:J213"/>
    <mergeCell ref="K72:K73"/>
    <mergeCell ref="K82:K86"/>
    <mergeCell ref="K101:K105"/>
    <mergeCell ref="K140:K141"/>
    <mergeCell ref="K147:K148"/>
    <mergeCell ref="K154:K157"/>
    <mergeCell ref="K160:K163"/>
    <mergeCell ref="K176:K179"/>
    <mergeCell ref="K182:K185"/>
    <mergeCell ref="K194:K197"/>
    <mergeCell ref="L72:L73"/>
    <mergeCell ref="L82:L86"/>
    <mergeCell ref="L101:L105"/>
    <mergeCell ref="L154:L156"/>
    <mergeCell ref="L160:L162"/>
    <mergeCell ref="L165:L167"/>
    <mergeCell ref="L176:L178"/>
    <mergeCell ref="L182:L184"/>
    <mergeCell ref="L187:L189"/>
    <mergeCell ref="L194:L196"/>
    <mergeCell ref="L202:L206"/>
    <mergeCell ref="L209:L213"/>
    <mergeCell ref="M72:M73"/>
    <mergeCell ref="M82:M86"/>
    <mergeCell ref="M101:M105"/>
    <mergeCell ref="M154:M156"/>
    <mergeCell ref="M160:M162"/>
    <mergeCell ref="M165:M167"/>
    <mergeCell ref="M176:M178"/>
    <mergeCell ref="M182:M184"/>
    <mergeCell ref="M187:M189"/>
    <mergeCell ref="M194:M196"/>
    <mergeCell ref="M202:M206"/>
    <mergeCell ref="M209:M213"/>
    <mergeCell ref="N72:N73"/>
    <mergeCell ref="N83:N85"/>
    <mergeCell ref="N91:N93"/>
    <mergeCell ref="N102:N104"/>
    <mergeCell ref="N154:N156"/>
    <mergeCell ref="N160:N162"/>
    <mergeCell ref="N165:N167"/>
    <mergeCell ref="N176:N178"/>
    <mergeCell ref="N182:N184"/>
    <mergeCell ref="N187:N189"/>
    <mergeCell ref="N194:N196"/>
    <mergeCell ref="O72:O73"/>
    <mergeCell ref="O83:O85"/>
    <mergeCell ref="O91:O93"/>
    <mergeCell ref="O102:O104"/>
    <mergeCell ref="O154:O156"/>
    <mergeCell ref="O160:O162"/>
    <mergeCell ref="O165:O167"/>
    <mergeCell ref="O176:O178"/>
    <mergeCell ref="O182:O184"/>
    <mergeCell ref="O187:O189"/>
    <mergeCell ref="O194:O196"/>
    <mergeCell ref="O202:O205"/>
    <mergeCell ref="O209:O212"/>
    <mergeCell ref="P72:P73"/>
    <mergeCell ref="P83:P85"/>
    <mergeCell ref="P91:P93"/>
    <mergeCell ref="P102:P104"/>
    <mergeCell ref="P154:P155"/>
    <mergeCell ref="P160:P161"/>
    <mergeCell ref="P165:P166"/>
    <mergeCell ref="P169:P170"/>
    <mergeCell ref="P176:P177"/>
    <mergeCell ref="P182:P183"/>
    <mergeCell ref="P187:P188"/>
    <mergeCell ref="P191:P192"/>
    <mergeCell ref="P194:P195"/>
    <mergeCell ref="P202:P205"/>
    <mergeCell ref="P209:P212"/>
    <mergeCell ref="Q72:Q73"/>
    <mergeCell ref="Q83:Q85"/>
    <mergeCell ref="Q91:Q93"/>
    <mergeCell ref="Q102:Q104"/>
    <mergeCell ref="Q154:Q155"/>
    <mergeCell ref="Q160:Q161"/>
    <mergeCell ref="Q165:Q166"/>
    <mergeCell ref="Q169:Q170"/>
    <mergeCell ref="Q176:Q177"/>
    <mergeCell ref="Q182:Q183"/>
    <mergeCell ref="Q187:Q188"/>
    <mergeCell ref="Q191:Q192"/>
    <mergeCell ref="Q194:Q195"/>
    <mergeCell ref="R72:R73"/>
    <mergeCell ref="R83:R85"/>
    <mergeCell ref="R91:R93"/>
    <mergeCell ref="R102:R104"/>
    <mergeCell ref="R154:R155"/>
    <mergeCell ref="R160:R161"/>
    <mergeCell ref="R165:R166"/>
    <mergeCell ref="R169:R170"/>
    <mergeCell ref="R176:R177"/>
    <mergeCell ref="R182:R183"/>
    <mergeCell ref="R187:R188"/>
    <mergeCell ref="R191:R192"/>
    <mergeCell ref="R194:R195"/>
    <mergeCell ref="R202:R205"/>
    <mergeCell ref="R209:R212"/>
    <mergeCell ref="S72:S73"/>
    <mergeCell ref="S83:S85"/>
    <mergeCell ref="S91:S93"/>
    <mergeCell ref="S102:S104"/>
    <mergeCell ref="S139:S142"/>
    <mergeCell ref="S154:S155"/>
    <mergeCell ref="S160:S161"/>
    <mergeCell ref="S165:S166"/>
    <mergeCell ref="S169:S170"/>
    <mergeCell ref="S176:S177"/>
    <mergeCell ref="S182:S183"/>
    <mergeCell ref="S187:S188"/>
    <mergeCell ref="S191:S192"/>
    <mergeCell ref="S194:S195"/>
    <mergeCell ref="S202:S205"/>
    <mergeCell ref="S209:S212"/>
    <mergeCell ref="T72:T73"/>
    <mergeCell ref="T83:T85"/>
    <mergeCell ref="T91:T93"/>
    <mergeCell ref="T102:T104"/>
    <mergeCell ref="U72:U73"/>
    <mergeCell ref="U83:U85"/>
    <mergeCell ref="U91:U93"/>
    <mergeCell ref="U102:U104"/>
    <mergeCell ref="U118:U120"/>
    <mergeCell ref="U121:U123"/>
    <mergeCell ref="U130:U132"/>
    <mergeCell ref="U133:U135"/>
    <mergeCell ref="U202:U204"/>
    <mergeCell ref="U209:U211"/>
    <mergeCell ref="V72:V73"/>
    <mergeCell ref="V83:V85"/>
    <mergeCell ref="V91:V93"/>
    <mergeCell ref="V102:V104"/>
    <mergeCell ref="V118:V120"/>
    <mergeCell ref="V121:V123"/>
    <mergeCell ref="V130:V132"/>
    <mergeCell ref="V133:V135"/>
    <mergeCell ref="V202:V204"/>
    <mergeCell ref="V209:V211"/>
    <mergeCell ref="W72:W73"/>
    <mergeCell ref="W83:W85"/>
    <mergeCell ref="W91:W93"/>
    <mergeCell ref="W102:W104"/>
    <mergeCell ref="W176:W177"/>
    <mergeCell ref="W182:W183"/>
    <mergeCell ref="W187:W188"/>
    <mergeCell ref="W191:W192"/>
    <mergeCell ref="X72:X73"/>
    <mergeCell ref="X83:X85"/>
    <mergeCell ref="X91:X93"/>
    <mergeCell ref="X102:X104"/>
    <mergeCell ref="X202:X204"/>
    <mergeCell ref="X209:X211"/>
    <mergeCell ref="Y72:Y73"/>
    <mergeCell ref="Y83:Y85"/>
    <mergeCell ref="Y91:Y93"/>
    <mergeCell ref="Y102:Y104"/>
    <mergeCell ref="Y202:Y204"/>
    <mergeCell ref="Y209:Y211"/>
    <mergeCell ref="AA202:AA203"/>
    <mergeCell ref="AA209:AA210"/>
    <mergeCell ref="AB202:AB203"/>
    <mergeCell ref="AB209:AB210"/>
    <mergeCell ref="AC115:AC120"/>
    <mergeCell ref="AC127:AC132"/>
    <mergeCell ref="AD202:AD203"/>
    <mergeCell ref="AD209:AD210"/>
    <mergeCell ref="AE202:AE203"/>
    <mergeCell ref="AE209:AE210"/>
    <mergeCell ref="AF82:AF86"/>
    <mergeCell ref="AF101:AF105"/>
    <mergeCell ref="AG82:AG86"/>
    <mergeCell ref="AG101:AG105"/>
    <mergeCell ref="AH82:AH86"/>
    <mergeCell ref="AH101:AH105"/>
    <mergeCell ref="AI82:AI86"/>
    <mergeCell ref="AI101:AI105"/>
    <mergeCell ref="AJ82:AJ86"/>
    <mergeCell ref="AJ101:AJ105"/>
    <mergeCell ref="AK82:AK86"/>
    <mergeCell ref="AK101:AK105"/>
  </mergeCells>
  <dataValidations count="20">
    <dataValidation type="textLength" operator="lessThanOrEqual" allowBlank="1" showInputMessage="1" showErrorMessage="1" errorTitle="Ошибка" error="Допускается ввод не более 900 символов!" sqref="E4 E8 G13 M34 E39 E43:F43 F48 E60 E64:F64 E68 G68 L72:M72 Q72:S72 U72:W72 AB72 L77:M77 Q77:S77 U77:W77 AB77 M82 K97 M101 I110 V154:W154 V160:W160 V165:W165 V169:W169 J172 R172 V172:W172 V176:W176 V182:W182 V187:W187 V191:W191 V194:W194 AI202 AI209 F50:F51 J154:J155 J160:J161 J165:J166 J169:J170 J176:J177 J182:J183 J187:J188 J191:J192 J194:J195 J202:J206 J209:J213 K82:K85 K91:K93 K101:K104 P202:P205 P209:P212 R154:R155 R160:R161 R165:R166 R169:R170 R176:R177 R182:R183 R187:R188 R191:R192 R194:R195">
      <formula1>900</formula1>
    </dataValidation>
    <dataValidation type="textLength" operator="lessThan" allowBlank="1" showInputMessage="1" showErrorMessage="1" error="Допускается ввод не более 900 символов!" sqref="M23 M29">
      <formula1>900</formula1>
    </dataValidation>
    <dataValidation type="list" allowBlank="1" showInputMessage="1" showErrorMessage="1" sqref="I34">
      <formula1>DESCRIPTION_TERRITORY</formula1>
    </dataValidation>
    <dataValidation type="list" allowBlank="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K72 K77 I97:J97 I82:J85 I101:J104" showDropDown="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49 G64 I72:J72 T72 X72 I77:J77 T77 X77"/>
    <dataValidation allowBlank="1" showInputMessage="1" showErrorMessage="1" prompt="Изменение значения по двойному щелчоку левой кнопки мыши" sqref="J5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56 H64 F68">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decimal" operator="between" allowBlank="1" showErrorMessage="1" errorTitle="Ошибка" error="Допускается ввод только неотрицательных чисел!" sqref="H60:I60 K60 M60 O60 Q60 T60 X60 AB60 AC84 AE84 AC92 AE92 AC97 AE97 AC103 AE103 O140 Q140 O147 Q147 O150 Q150">
      <formula1>0</formula1>
      <formula2>9.99999999999999E+23</formula2>
    </dataValidation>
    <dataValidation type="whole" operator="between" allowBlank="1" showErrorMessage="1" errorTitle="Ошибка" error="Допускается ввод только неотрицательных целых чисел!" sqref="J60 N60 P60 R60:S60 U60:V60 Y60:Z60 AC60 AF97 AI97 AF82:AF86 AF91:AF93 AF101:AF105 AI82:AI86 AI91:AI93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decimal" operator="between" allowBlank="1" showErrorMessage="1" errorTitle="Ошибка" error="Допускается ввод только действительных чисел!" sqref="O110:AB110 BT110:CK110 CY110:DJ110">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J150 J140:J141 J147:J148">
      <formula1>kind_of_purchase_method</formula1>
    </dataValidation>
    <dataValidation allowBlank="1" showInputMessage="1" showErrorMessage="1" prompt="Для выбора выполните двойной щелчок левой клавиши мыши по соответствующей ячейке." sqref="K154 O154 K160 O160 K165 O165 K169 O169 F172 K176 O176 K182 O182 O187 O191 F154:F158 F160:F163 F165:F167 F169:F170 F176:F180 F182:F185 F187:F189 F191:F192 K194:K195 O194:O195 S154:S155 S160:S161 S165:S166 S169:S170 S176:S177 S182:S183 S187:S188 S191:S192 S194:S195"/>
    <dataValidation allowBlank="1" showInputMessage="1" showErrorMessage="1" prompt="Выберите виды деятельности, выполнив двойной щелчок левой кнопки мыши по ячейке." sqref="G172 G154:G158 G160:G163 G165:G167 G169:G170 G176:G180 G182:G185 G187:G189 G191:G192"/>
    <dataValidation type="list" allowBlank="1" showInputMessage="1" errorTitle="Ошибка" error="Выберите значение из списка" prompt="Выберите значение из списка или укажите свой вид твердых коммунальных отходов" sqref="AC202 AC209" errorStyle="warning">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60:N162 N165:N167 N169:N170 N176:N178 N182:N184 N187:N189 N191:N19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s>
  <pageMargins left="0.75" right="0.75" top="1" bottom="1" header="0.5" footer="0.5"/>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H34"/>
  <sheetViews>
    <sheetView showGridLines="0" workbookViewId="0">
      <selection activeCell="A1" sqref="A1"/>
    </sheetView>
  </sheetViews>
  <sheetFormatPr defaultColWidth="43.1428571428571" defaultRowHeight="9" customHeight="1" outlineLevelCol="7"/>
  <cols>
    <col min="1" max="1" width="43.1428571428571" style="153"/>
    <col min="2" max="2" width="43.1428571428571" style="153" hidden="1"/>
    <col min="3" max="3" width="43.1428571428571" style="153"/>
    <col min="4" max="5" width="36.4190476190476" style="153" customWidth="1"/>
    <col min="6" max="8" width="36.4190476190476" style="196" customWidth="1"/>
  </cols>
  <sheetData>
    <row r="1" customHeight="1" spans="1:8">
      <c r="A1" s="158" t="s">
        <v>1962</v>
      </c>
      <c r="B1" s="158"/>
      <c r="C1" s="197" t="s">
        <v>1963</v>
      </c>
      <c r="D1" s="198" t="s">
        <v>817</v>
      </c>
      <c r="E1" s="198" t="s">
        <v>863</v>
      </c>
      <c r="F1" s="198" t="s">
        <v>916</v>
      </c>
      <c r="G1" s="198" t="s">
        <v>903</v>
      </c>
      <c r="H1" s="198" t="s">
        <v>1637</v>
      </c>
    </row>
    <row r="2" customHeight="1" spans="1:8">
      <c r="A2" s="199" t="s">
        <v>1964</v>
      </c>
      <c r="B2" s="199"/>
      <c r="C2" s="200" t="str">
        <f>INDEX(TEMPLATE_NUMBER_FORM_LIST,MATCH(TEMPLATE_SPHERE,TEMPLATE_SPHERE_LIST,0))</f>
        <v>10</v>
      </c>
      <c r="D2" s="199" t="s">
        <v>1486</v>
      </c>
      <c r="E2" s="199" t="s">
        <v>151</v>
      </c>
      <c r="F2" s="201" t="s">
        <v>151</v>
      </c>
      <c r="G2" s="199" t="s">
        <v>151</v>
      </c>
      <c r="H2" s="202"/>
    </row>
    <row r="3" ht="63" customHeight="1" spans="1:8">
      <c r="A3" s="158"/>
      <c r="B3" s="158" t="s">
        <v>111</v>
      </c>
      <c r="C3" s="200"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200" t="s">
        <v>1965</v>
      </c>
      <c r="E3" s="20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201"/>
      <c r="G3" s="202"/>
      <c r="H3" s="158"/>
    </row>
    <row r="4" ht="243" customHeight="1" spans="1:8">
      <c r="A4" s="158" t="s">
        <v>1966</v>
      </c>
      <c r="B4" s="158" t="s">
        <v>112</v>
      </c>
      <c r="C4" s="200" t="str">
        <f>IF(TEMPLATE_SPHERE="HEAT",D4,IF(TEMPLATE_SPHERE="TKO",H4,E4))</f>
        <v>Форма 1. Информация об организации, осуществляющей холодное водоснабжение (общая информация)</v>
      </c>
      <c r="D4" s="199" t="s">
        <v>1967</v>
      </c>
      <c r="E4" s="20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199"/>
      <c r="G4" s="199"/>
      <c r="H4" s="158" t="s">
        <v>1968</v>
      </c>
    </row>
    <row r="5" ht="117" customHeight="1" spans="1:8">
      <c r="A5" s="158" t="s">
        <v>1969</v>
      </c>
      <c r="B5" s="158" t="s">
        <v>91</v>
      </c>
      <c r="C5" s="200"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158" t="s">
        <v>1970</v>
      </c>
      <c r="E5" s="1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202"/>
      <c r="G5" s="202"/>
      <c r="H5" s="158" t="s">
        <v>1971</v>
      </c>
    </row>
    <row r="6" ht="90" customHeight="1" spans="1:8">
      <c r="A6" s="158" t="s">
        <v>1972</v>
      </c>
      <c r="B6" s="158" t="s">
        <v>92</v>
      </c>
      <c r="C6" s="200"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1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158"/>
      <c r="G6" s="158"/>
      <c r="H6" s="202"/>
    </row>
    <row r="7" ht="45" customHeight="1" spans="1:8">
      <c r="A7" s="158" t="s">
        <v>1973</v>
      </c>
      <c r="B7" s="158" t="s">
        <v>113</v>
      </c>
      <c r="C7" s="200"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58" t="s">
        <v>1974</v>
      </c>
      <c r="E7" s="158" t="s">
        <v>1975</v>
      </c>
      <c r="F7" s="202"/>
      <c r="G7" s="202"/>
      <c r="H7" s="202"/>
    </row>
    <row r="8" ht="108" customHeight="1" spans="1:8">
      <c r="A8" s="158" t="s">
        <v>1976</v>
      </c>
      <c r="B8" s="158" t="s">
        <v>93</v>
      </c>
      <c r="C8" s="200"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58" t="s">
        <v>1177</v>
      </c>
      <c r="E8" s="158" t="s">
        <v>1977</v>
      </c>
      <c r="F8" s="202"/>
      <c r="G8" s="202"/>
      <c r="H8" s="202"/>
    </row>
    <row r="9" ht="99" customHeight="1" spans="1:8">
      <c r="A9" s="158" t="s">
        <v>1978</v>
      </c>
      <c r="B9" s="158"/>
      <c r="C9" s="158" t="s">
        <v>1979</v>
      </c>
      <c r="D9" s="158"/>
      <c r="E9" s="158"/>
      <c r="F9" s="202"/>
      <c r="G9" s="202"/>
      <c r="H9" s="202"/>
    </row>
    <row r="10" ht="126" customHeight="1" spans="1:8">
      <c r="A10" s="158" t="s">
        <v>1980</v>
      </c>
      <c r="B10" s="158"/>
      <c r="C10" s="158" t="s">
        <v>1981</v>
      </c>
      <c r="D10" s="158"/>
      <c r="E10" s="158"/>
      <c r="F10" s="202"/>
      <c r="G10" s="202"/>
      <c r="H10" s="202"/>
    </row>
    <row r="11" ht="108" customHeight="1" spans="1:8">
      <c r="A11" s="158" t="s">
        <v>1982</v>
      </c>
      <c r="B11" s="158"/>
      <c r="C11" s="158" t="s">
        <v>1983</v>
      </c>
      <c r="D11" s="158"/>
      <c r="E11" s="158"/>
      <c r="F11" s="202"/>
      <c r="G11" s="202"/>
      <c r="H11" s="202"/>
    </row>
    <row r="12" ht="54" customHeight="1" spans="1:8">
      <c r="A12" s="158" t="s">
        <v>1984</v>
      </c>
      <c r="B12" s="158"/>
      <c r="C12" s="158" t="s">
        <v>1985</v>
      </c>
      <c r="D12" s="158"/>
      <c r="E12" s="158"/>
      <c r="F12" s="202"/>
      <c r="G12" s="202"/>
      <c r="H12" s="202"/>
    </row>
    <row r="13" ht="45" customHeight="1" spans="1:8">
      <c r="A13" s="158" t="s">
        <v>1986</v>
      </c>
      <c r="B13" s="158"/>
      <c r="C13" s="158" t="s">
        <v>1987</v>
      </c>
      <c r="D13" s="158"/>
      <c r="E13" s="158"/>
      <c r="F13" s="202"/>
      <c r="G13" s="202"/>
      <c r="H13" s="202"/>
    </row>
    <row r="14" ht="117" customHeight="1" spans="1:8">
      <c r="A14" s="158" t="s">
        <v>1988</v>
      </c>
      <c r="B14" s="158"/>
      <c r="C14" s="158" t="s">
        <v>1989</v>
      </c>
      <c r="D14" s="158"/>
      <c r="E14" s="158"/>
      <c r="F14" s="202"/>
      <c r="G14" s="202"/>
      <c r="H14" s="202"/>
    </row>
    <row r="15" ht="117" customHeight="1" spans="1:8">
      <c r="A15" s="158" t="s">
        <v>1990</v>
      </c>
      <c r="B15" s="158"/>
      <c r="C15" s="158" t="s">
        <v>1991</v>
      </c>
      <c r="D15" s="158"/>
      <c r="E15" s="158"/>
      <c r="F15" s="202"/>
      <c r="G15" s="202"/>
      <c r="H15" s="202"/>
    </row>
    <row r="16" ht="63" customHeight="1" spans="1:8">
      <c r="A16" s="158" t="s">
        <v>1992</v>
      </c>
      <c r="B16" s="158"/>
      <c r="C16" s="158" t="s">
        <v>1993</v>
      </c>
      <c r="D16" s="158"/>
      <c r="E16" s="158"/>
      <c r="F16" s="202"/>
      <c r="G16" s="202"/>
      <c r="H16" s="202"/>
    </row>
    <row r="17" ht="54" customHeight="1" spans="1:8">
      <c r="A17" s="158" t="s">
        <v>1994</v>
      </c>
      <c r="B17" s="158"/>
      <c r="C17" s="200" t="s">
        <v>1995</v>
      </c>
      <c r="D17" s="158"/>
      <c r="E17" s="158"/>
      <c r="F17" s="202"/>
      <c r="G17" s="202"/>
      <c r="H17" s="202"/>
    </row>
    <row r="18" ht="27" customHeight="1" spans="1:8">
      <c r="A18" s="158" t="s">
        <v>1996</v>
      </c>
      <c r="B18" s="158"/>
      <c r="C18" s="200" t="s">
        <v>1997</v>
      </c>
      <c r="D18" s="158"/>
      <c r="E18" s="158"/>
      <c r="F18" s="202"/>
      <c r="G18" s="202"/>
      <c r="H18" s="202"/>
    </row>
    <row r="19" ht="54" customHeight="1" spans="1:8">
      <c r="A19" s="158" t="s">
        <v>1998</v>
      </c>
      <c r="B19" s="158"/>
      <c r="C19" s="200" t="s">
        <v>1999</v>
      </c>
      <c r="D19" s="158"/>
      <c r="E19" s="158"/>
      <c r="F19" s="202"/>
      <c r="G19" s="202"/>
      <c r="H19" s="202"/>
    </row>
    <row r="20" ht="36" customHeight="1" spans="1:8">
      <c r="A20" s="158" t="s">
        <v>2000</v>
      </c>
      <c r="B20" s="158"/>
      <c r="C20" s="200" t="s">
        <v>2001</v>
      </c>
      <c r="D20" s="158"/>
      <c r="E20" s="158"/>
      <c r="F20" s="202"/>
      <c r="G20" s="202"/>
      <c r="H20" s="202"/>
    </row>
    <row r="21" ht="36" customHeight="1" spans="1:8">
      <c r="A21" s="158" t="s">
        <v>2002</v>
      </c>
      <c r="B21" s="158"/>
      <c r="C21" s="200" t="s">
        <v>2003</v>
      </c>
      <c r="D21" s="158"/>
      <c r="E21" s="158"/>
      <c r="F21" s="202"/>
      <c r="G21" s="202"/>
      <c r="H21" s="202"/>
    </row>
    <row r="22" ht="27" customHeight="1" spans="1:8">
      <c r="A22" s="158" t="s">
        <v>2004</v>
      </c>
      <c r="B22" s="158"/>
      <c r="C22" s="200" t="s">
        <v>2005</v>
      </c>
      <c r="D22" s="158"/>
      <c r="E22" s="158"/>
      <c r="F22" s="202"/>
      <c r="G22" s="202"/>
      <c r="H22" s="202"/>
    </row>
    <row r="23" ht="36" customHeight="1" spans="1:8">
      <c r="A23" s="158" t="s">
        <v>2006</v>
      </c>
      <c r="B23" s="158"/>
      <c r="C23" s="200" t="s">
        <v>2007</v>
      </c>
      <c r="D23" s="158"/>
      <c r="E23" s="158"/>
      <c r="F23" s="202"/>
      <c r="G23" s="202"/>
      <c r="H23" s="202"/>
    </row>
    <row r="24" ht="28.5" customHeight="1" spans="1:8">
      <c r="A24" s="158" t="s">
        <v>2008</v>
      </c>
      <c r="B24" s="158"/>
      <c r="C24" s="200" t="s">
        <v>2009</v>
      </c>
      <c r="D24" s="158"/>
      <c r="E24" s="158"/>
      <c r="F24" s="202"/>
      <c r="G24" s="202"/>
      <c r="H24" s="202"/>
    </row>
    <row r="25" ht="36" customHeight="1" spans="1:8">
      <c r="A25" s="158" t="s">
        <v>2010</v>
      </c>
      <c r="B25" s="158"/>
      <c r="C25" s="200" t="s">
        <v>2011</v>
      </c>
      <c r="D25" s="158"/>
      <c r="E25" s="158"/>
      <c r="F25" s="202"/>
      <c r="G25" s="202"/>
      <c r="H25" s="202"/>
    </row>
    <row r="26" ht="27" customHeight="1" spans="1:8">
      <c r="A26" s="158" t="s">
        <v>2012</v>
      </c>
      <c r="B26" s="158"/>
      <c r="C26" s="200" t="s">
        <v>2013</v>
      </c>
      <c r="D26" s="158"/>
      <c r="E26" s="158"/>
      <c r="F26" s="202"/>
      <c r="G26" s="202"/>
      <c r="H26" s="202"/>
    </row>
    <row r="27" ht="36" customHeight="1" spans="1:8">
      <c r="A27" s="158" t="s">
        <v>2014</v>
      </c>
      <c r="B27" s="158"/>
      <c r="C27" s="200" t="s">
        <v>2015</v>
      </c>
      <c r="D27" s="158"/>
      <c r="E27" s="158"/>
      <c r="F27" s="202"/>
      <c r="G27" s="202"/>
      <c r="H27" s="202"/>
    </row>
    <row r="28" ht="28.5" customHeight="1" spans="1:8">
      <c r="A28" s="158" t="s">
        <v>2016</v>
      </c>
      <c r="B28" s="158"/>
      <c r="C28" s="200" t="s">
        <v>2017</v>
      </c>
      <c r="D28" s="158"/>
      <c r="E28" s="158"/>
      <c r="F28" s="202"/>
      <c r="G28" s="202"/>
      <c r="H28" s="202"/>
    </row>
    <row r="29" ht="126" customHeight="1" spans="1:8">
      <c r="A29" s="158" t="s">
        <v>2018</v>
      </c>
      <c r="B29" s="158" t="s">
        <v>1588</v>
      </c>
      <c r="C29" s="200"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158" t="s">
        <v>2019</v>
      </c>
      <c r="E29" s="1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202"/>
      <c r="G29" s="202"/>
      <c r="H29" s="158" t="s">
        <v>2020</v>
      </c>
    </row>
    <row r="30" ht="36" customHeight="1" spans="1:8">
      <c r="A30" s="158" t="s">
        <v>2021</v>
      </c>
      <c r="B30" s="158"/>
      <c r="C30" s="200"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158" t="s">
        <v>2022</v>
      </c>
      <c r="E30" s="1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202"/>
      <c r="G30" s="202"/>
      <c r="H30" s="202"/>
    </row>
    <row r="31" ht="54" customHeight="1" spans="1:8">
      <c r="A31" s="158" t="s">
        <v>2023</v>
      </c>
      <c r="B31" s="158"/>
      <c r="C31" s="200" t="str">
        <f>IF(TEMPLATE_SPHERE="HEAT",D31,IF(TEMPLATE_SPHERE="TKO",H31,E31))</f>
        <v>Форма 1. Информация об организации, осуществляющей холодное водоснабжение (общая информация)</v>
      </c>
      <c r="D31" s="158" t="s">
        <v>2024</v>
      </c>
      <c r="E31" s="17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202"/>
      <c r="G31" s="202"/>
      <c r="H31" s="202"/>
    </row>
    <row r="32" ht="198" customHeight="1" spans="1:8">
      <c r="A32" s="158" t="s">
        <v>2025</v>
      </c>
      <c r="B32" s="158"/>
      <c r="C32" s="200" t="str">
        <f>IF(TEMPLATE_SPHERE="HEAT",D32,IF(TEMPLATE_SPHERE="TKO",H32,E32))</f>
        <v>Форма 7. Информация об инвестиционных программах организации холодного водоснабжения и отчетах об их исполнении</v>
      </c>
      <c r="D32" s="158" t="s">
        <v>2026</v>
      </c>
      <c r="E32" s="1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202"/>
      <c r="G32" s="202"/>
      <c r="H32" s="158" t="s">
        <v>2027</v>
      </c>
    </row>
    <row r="33" customHeight="1" spans="1:8">
      <c r="A33" s="158"/>
      <c r="B33" s="158"/>
      <c r="C33" s="200"/>
      <c r="D33" s="158"/>
      <c r="E33" s="158"/>
      <c r="F33" s="202"/>
      <c r="G33" s="202"/>
      <c r="H33" s="202"/>
    </row>
    <row r="34" customHeight="1" spans="1:8">
      <c r="A34" s="158"/>
      <c r="B34" s="158" t="s">
        <v>1524</v>
      </c>
      <c r="C34" s="200">
        <f>INDEX(TEMPLATE_NAME_FORM_LIST,B34,MATCH(TEMPLATE_SPHERE,TEMPLATE_SPHERE_LIST,0))</f>
        <v>0</v>
      </c>
      <c r="D34" s="158"/>
      <c r="E34" s="158"/>
      <c r="F34" s="202"/>
      <c r="G34" s="202"/>
      <c r="H34" s="202"/>
    </row>
  </sheetData>
  <sheetProtection insertRows="0" deleteColumns="0" deleteRows="0" sort="0" autoFilter="0"/>
  <pageMargins left="0.7" right="0.7" top="0.75" bottom="0.75" header="0.3" footer="0.3"/>
  <pageSetup paperSize="9" orientation="portrait"/>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AH154"/>
  <sheetViews>
    <sheetView showGridLines="0" workbookViewId="0">
      <selection activeCell="A1" sqref="A1"/>
    </sheetView>
  </sheetViews>
  <sheetFormatPr defaultColWidth="9.14285714285714" defaultRowHeight="9" customHeight="1"/>
  <cols>
    <col min="1" max="2" width="9.14285714285714" style="153"/>
    <col min="3" max="7" width="8" style="154" customWidth="1"/>
    <col min="8" max="12" width="8.57142857142857" style="154" customWidth="1"/>
    <col min="13" max="14" width="27.7142857142857" style="154" customWidth="1"/>
    <col min="15" max="19" width="5.14285714285714" style="154" customWidth="1"/>
    <col min="20" max="24" width="27.7142857142857" style="154" customWidth="1"/>
    <col min="25" max="25" width="1.84761904761905" style="155" customWidth="1"/>
    <col min="26" max="26" width="27.7142857142857" style="153" customWidth="1"/>
    <col min="27" max="27" width="27.7142857142857" style="156" customWidth="1"/>
    <col min="28" max="29" width="27.7142857142857" style="153" customWidth="1"/>
    <col min="30" max="30" width="3.84761904761905" style="153" customWidth="1"/>
    <col min="31" max="34" width="9.14285714285714" style="153"/>
  </cols>
  <sheetData>
    <row r="1" s="152" customFormat="1" ht="18" customHeight="1" spans="1:30">
      <c r="A1" s="157"/>
      <c r="B1" s="157"/>
      <c r="C1" s="157" t="s">
        <v>2028</v>
      </c>
      <c r="D1" s="157"/>
      <c r="E1" s="157"/>
      <c r="F1" s="157"/>
      <c r="G1" s="157"/>
      <c r="H1" s="157" t="s">
        <v>2029</v>
      </c>
      <c r="I1" s="157"/>
      <c r="J1" s="157"/>
      <c r="K1" s="157"/>
      <c r="L1" s="157"/>
      <c r="M1" s="157" t="s">
        <v>2030</v>
      </c>
      <c r="N1" s="157" t="s">
        <v>2031</v>
      </c>
      <c r="O1" s="157" t="s">
        <v>2032</v>
      </c>
      <c r="P1" s="157"/>
      <c r="Q1" s="157"/>
      <c r="R1" s="157"/>
      <c r="S1" s="157"/>
      <c r="T1" s="157" t="s">
        <v>2030</v>
      </c>
      <c r="U1" s="157"/>
      <c r="V1" s="157"/>
      <c r="W1" s="157"/>
      <c r="X1" s="157"/>
      <c r="Y1" s="187"/>
      <c r="Z1" s="157" t="s">
        <v>2033</v>
      </c>
      <c r="AA1" s="157"/>
      <c r="AB1" s="157"/>
      <c r="AC1" s="157"/>
      <c r="AD1" s="157"/>
    </row>
    <row r="2" ht="18" customHeight="1" spans="1:30">
      <c r="A2" s="158"/>
      <c r="B2" s="158"/>
      <c r="C2" s="159" t="s">
        <v>817</v>
      </c>
      <c r="D2" s="159" t="s">
        <v>863</v>
      </c>
      <c r="E2" s="159" t="s">
        <v>916</v>
      </c>
      <c r="F2" s="159" t="s">
        <v>903</v>
      </c>
      <c r="G2" s="159" t="s">
        <v>1637</v>
      </c>
      <c r="H2" s="160"/>
      <c r="I2" s="160"/>
      <c r="J2" s="160"/>
      <c r="K2" s="160"/>
      <c r="L2" s="160"/>
      <c r="M2" s="160"/>
      <c r="N2" s="160"/>
      <c r="O2" s="159" t="s">
        <v>817</v>
      </c>
      <c r="P2" s="159" t="s">
        <v>863</v>
      </c>
      <c r="Q2" s="159" t="s">
        <v>903</v>
      </c>
      <c r="R2" s="159" t="s">
        <v>916</v>
      </c>
      <c r="S2" s="159" t="s">
        <v>1637</v>
      </c>
      <c r="T2" s="159" t="s">
        <v>817</v>
      </c>
      <c r="U2" s="159" t="s">
        <v>863</v>
      </c>
      <c r="V2" s="159" t="s">
        <v>903</v>
      </c>
      <c r="W2" s="159" t="s">
        <v>916</v>
      </c>
      <c r="X2" s="159" t="s">
        <v>1637</v>
      </c>
      <c r="Y2" s="159"/>
      <c r="Z2" s="159" t="s">
        <v>817</v>
      </c>
      <c r="AA2" s="188" t="s">
        <v>863</v>
      </c>
      <c r="AB2" s="159" t="s">
        <v>903</v>
      </c>
      <c r="AC2" s="159" t="s">
        <v>916</v>
      </c>
      <c r="AD2" s="159" t="s">
        <v>1637</v>
      </c>
    </row>
    <row r="3" ht="162" customHeight="1" spans="1:34">
      <c r="A3" s="161" t="s">
        <v>26</v>
      </c>
      <c r="B3" s="161"/>
      <c r="C3" s="162" t="s">
        <v>2034</v>
      </c>
      <c r="D3" s="163"/>
      <c r="E3" s="163"/>
      <c r="F3" s="164"/>
      <c r="G3" s="160"/>
      <c r="H3" s="160"/>
      <c r="I3" s="160"/>
      <c r="J3" s="160"/>
      <c r="K3" s="160"/>
      <c r="L3" s="160"/>
      <c r="M3" s="160"/>
      <c r="N3" s="17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160"/>
      <c r="P3" s="160"/>
      <c r="Q3" s="160"/>
      <c r="R3" s="160"/>
      <c r="S3" s="160"/>
      <c r="T3" s="160"/>
      <c r="U3" s="160"/>
      <c r="V3" s="160"/>
      <c r="W3" s="160"/>
      <c r="X3" s="160"/>
      <c r="Y3" s="189"/>
      <c r="Z3" s="158" t="s">
        <v>2035</v>
      </c>
      <c r="AA3" s="160" t="s">
        <v>2036</v>
      </c>
      <c r="AB3" s="158" t="s">
        <v>2037</v>
      </c>
      <c r="AC3" s="158" t="s">
        <v>2038</v>
      </c>
      <c r="AD3" s="158"/>
      <c r="AG3" s="158"/>
      <c r="AH3" s="158"/>
    </row>
    <row r="4" customHeight="1" spans="1:30">
      <c r="A4" s="161"/>
      <c r="B4" s="161"/>
      <c r="C4" s="160"/>
      <c r="D4" s="160"/>
      <c r="E4" s="160"/>
      <c r="F4" s="160"/>
      <c r="G4" s="160"/>
      <c r="H4" s="160"/>
      <c r="I4" s="160"/>
      <c r="J4" s="160"/>
      <c r="K4" s="160"/>
      <c r="L4" s="160"/>
      <c r="M4" s="160"/>
      <c r="N4" s="160"/>
      <c r="O4" s="160"/>
      <c r="P4" s="160"/>
      <c r="Q4" s="160"/>
      <c r="R4" s="160"/>
      <c r="S4" s="160"/>
      <c r="T4" s="160"/>
      <c r="U4" s="160"/>
      <c r="V4" s="160"/>
      <c r="W4" s="160"/>
      <c r="X4" s="160"/>
      <c r="Y4" s="189"/>
      <c r="Z4" s="158"/>
      <c r="AA4" s="178"/>
      <c r="AB4" s="158"/>
      <c r="AC4" s="158"/>
      <c r="AD4" s="158"/>
    </row>
    <row r="5" customHeight="1" spans="1:30">
      <c r="A5" s="161"/>
      <c r="B5" s="161"/>
      <c r="C5" s="160"/>
      <c r="D5" s="160"/>
      <c r="E5" s="160"/>
      <c r="F5" s="160"/>
      <c r="G5" s="160"/>
      <c r="H5" s="160"/>
      <c r="I5" s="160"/>
      <c r="J5" s="160"/>
      <c r="K5" s="160"/>
      <c r="L5" s="160"/>
      <c r="M5" s="160"/>
      <c r="N5" s="160"/>
      <c r="O5" s="160"/>
      <c r="P5" s="160"/>
      <c r="Q5" s="160"/>
      <c r="R5" s="160"/>
      <c r="S5" s="160"/>
      <c r="T5" s="160"/>
      <c r="U5" s="160"/>
      <c r="V5" s="160"/>
      <c r="W5" s="160"/>
      <c r="X5" s="160"/>
      <c r="Y5" s="189"/>
      <c r="Z5" s="158"/>
      <c r="AA5" s="178"/>
      <c r="AB5" s="158"/>
      <c r="AC5" s="158"/>
      <c r="AD5" s="158"/>
    </row>
    <row r="6" customHeight="1" spans="1:30">
      <c r="A6" s="161"/>
      <c r="B6" s="161"/>
      <c r="C6" s="160"/>
      <c r="D6" s="160"/>
      <c r="E6" s="160"/>
      <c r="F6" s="160"/>
      <c r="G6" s="160"/>
      <c r="H6" s="160"/>
      <c r="I6" s="160"/>
      <c r="J6" s="160"/>
      <c r="K6" s="160"/>
      <c r="L6" s="160"/>
      <c r="M6" s="160"/>
      <c r="N6" s="160"/>
      <c r="O6" s="160"/>
      <c r="P6" s="160"/>
      <c r="Q6" s="160"/>
      <c r="R6" s="160"/>
      <c r="S6" s="160"/>
      <c r="T6" s="160"/>
      <c r="U6" s="160"/>
      <c r="V6" s="160"/>
      <c r="W6" s="160"/>
      <c r="X6" s="160"/>
      <c r="Y6" s="189"/>
      <c r="Z6" s="158"/>
      <c r="AA6" s="178"/>
      <c r="AB6" s="158"/>
      <c r="AC6" s="158"/>
      <c r="AD6" s="158"/>
    </row>
    <row r="7" customHeight="1" spans="1:30">
      <c r="A7" s="161"/>
      <c r="B7" s="161"/>
      <c r="C7" s="160"/>
      <c r="D7" s="160"/>
      <c r="E7" s="160"/>
      <c r="F7" s="160"/>
      <c r="G7" s="160"/>
      <c r="H7" s="160"/>
      <c r="I7" s="160"/>
      <c r="J7" s="160"/>
      <c r="K7" s="160"/>
      <c r="L7" s="160"/>
      <c r="M7" s="160"/>
      <c r="N7" s="160"/>
      <c r="O7" s="160"/>
      <c r="P7" s="160"/>
      <c r="Q7" s="160"/>
      <c r="R7" s="160"/>
      <c r="S7" s="160"/>
      <c r="T7" s="160"/>
      <c r="U7" s="160"/>
      <c r="V7" s="160"/>
      <c r="W7" s="160"/>
      <c r="X7" s="160"/>
      <c r="Y7" s="189"/>
      <c r="Z7" s="158"/>
      <c r="AA7" s="178"/>
      <c r="AB7" s="158"/>
      <c r="AC7" s="158"/>
      <c r="AD7" s="158"/>
    </row>
    <row r="8" customHeight="1" spans="1:30">
      <c r="A8" s="161"/>
      <c r="B8" s="161"/>
      <c r="C8" s="160"/>
      <c r="D8" s="160"/>
      <c r="E8" s="160"/>
      <c r="F8" s="160"/>
      <c r="G8" s="160"/>
      <c r="H8" s="160"/>
      <c r="I8" s="160"/>
      <c r="J8" s="160"/>
      <c r="K8" s="160"/>
      <c r="L8" s="160"/>
      <c r="M8" s="160"/>
      <c r="N8" s="160"/>
      <c r="O8" s="160"/>
      <c r="P8" s="160"/>
      <c r="Q8" s="160"/>
      <c r="R8" s="160"/>
      <c r="S8" s="160"/>
      <c r="T8" s="160"/>
      <c r="U8" s="160"/>
      <c r="V8" s="160"/>
      <c r="W8" s="160"/>
      <c r="X8" s="160"/>
      <c r="Y8" s="189"/>
      <c r="Z8" s="158"/>
      <c r="AA8" s="178"/>
      <c r="AB8" s="158"/>
      <c r="AC8" s="158"/>
      <c r="AD8" s="158"/>
    </row>
    <row r="9" customHeight="1" spans="1:30">
      <c r="A9" s="161"/>
      <c r="B9" s="161"/>
      <c r="C9" s="160"/>
      <c r="D9" s="160"/>
      <c r="E9" s="160"/>
      <c r="F9" s="160"/>
      <c r="G9" s="160"/>
      <c r="H9" s="160"/>
      <c r="I9" s="160"/>
      <c r="J9" s="160"/>
      <c r="K9" s="160"/>
      <c r="L9" s="160"/>
      <c r="M9" s="160"/>
      <c r="N9" s="160"/>
      <c r="O9" s="160"/>
      <c r="P9" s="160"/>
      <c r="Q9" s="160"/>
      <c r="R9" s="160"/>
      <c r="S9" s="160"/>
      <c r="T9" s="160"/>
      <c r="U9" s="160"/>
      <c r="V9" s="160"/>
      <c r="W9" s="160"/>
      <c r="X9" s="160"/>
      <c r="Y9" s="189"/>
      <c r="Z9" s="158"/>
      <c r="AA9" s="178"/>
      <c r="AB9" s="158"/>
      <c r="AC9" s="158"/>
      <c r="AD9" s="158"/>
    </row>
    <row r="10" customHeight="1" spans="1:30">
      <c r="A10" s="165"/>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row>
    <row r="11" ht="45" customHeight="1" spans="1:30">
      <c r="A11" s="165" t="s">
        <v>33</v>
      </c>
      <c r="B11" s="165">
        <v>1</v>
      </c>
      <c r="C11" s="166" t="s">
        <v>1575</v>
      </c>
      <c r="D11" s="166" t="s">
        <v>1571</v>
      </c>
      <c r="E11" s="166" t="s">
        <v>1670</v>
      </c>
      <c r="F11" s="166" t="s">
        <v>2039</v>
      </c>
      <c r="G11" s="166"/>
      <c r="H11" s="157" t="s">
        <v>2040</v>
      </c>
      <c r="I11" s="157"/>
      <c r="J11" s="157"/>
      <c r="K11" s="157"/>
      <c r="L11" s="157"/>
      <c r="M11" s="176" t="str">
        <f>IF(TEMPLATE_SPHERE="HEAT",T11,U11)</f>
        <v>Количество поданных заявлений </v>
      </c>
      <c r="N11" s="176"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160"/>
      <c r="P11" s="160"/>
      <c r="Q11" s="160"/>
      <c r="R11" s="160"/>
      <c r="S11" s="160"/>
      <c r="T11" s="160" t="s">
        <v>2041</v>
      </c>
      <c r="U11" s="160" t="s">
        <v>2042</v>
      </c>
      <c r="V11" s="160"/>
      <c r="W11" s="160"/>
      <c r="X11" s="160"/>
      <c r="Y11" s="189"/>
      <c r="Z11" s="158" t="s">
        <v>2043</v>
      </c>
      <c r="AA11" s="1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158"/>
      <c r="AC11" s="158"/>
      <c r="AD11" s="158"/>
    </row>
    <row r="12" ht="45" customHeight="1" spans="1:30">
      <c r="A12" s="165"/>
      <c r="B12" s="165">
        <v>2</v>
      </c>
      <c r="C12" s="167"/>
      <c r="D12" s="167"/>
      <c r="E12" s="167"/>
      <c r="F12" s="167"/>
      <c r="G12" s="167"/>
      <c r="H12" s="157" t="s">
        <v>2044</v>
      </c>
      <c r="I12" s="157"/>
      <c r="J12" s="157"/>
      <c r="K12" s="157"/>
      <c r="L12" s="157"/>
      <c r="M12" s="176" t="str">
        <f>IF(TEMPLATE_SPHERE="HEAT",T12,U12)</f>
        <v>Количество исполненных заявлений </v>
      </c>
      <c r="N12" s="176"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160"/>
      <c r="P12" s="160"/>
      <c r="Q12" s="160"/>
      <c r="R12" s="160"/>
      <c r="S12" s="160"/>
      <c r="T12" s="160" t="s">
        <v>2045</v>
      </c>
      <c r="U12" s="160" t="s">
        <v>2046</v>
      </c>
      <c r="V12" s="160"/>
      <c r="W12" s="160"/>
      <c r="X12" s="160"/>
      <c r="Y12" s="189"/>
      <c r="Z12" s="158" t="s">
        <v>2047</v>
      </c>
      <c r="AA12" s="1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158"/>
      <c r="AC12" s="158"/>
      <c r="AD12" s="158"/>
    </row>
    <row r="13" ht="72" customHeight="1" spans="1:30">
      <c r="A13" s="165"/>
      <c r="B13" s="165">
        <v>3</v>
      </c>
      <c r="C13" s="167"/>
      <c r="D13" s="167"/>
      <c r="E13" s="167"/>
      <c r="F13" s="167"/>
      <c r="G13" s="167"/>
      <c r="H13" s="157" t="s">
        <v>2048</v>
      </c>
      <c r="I13" s="157"/>
      <c r="J13" s="157"/>
      <c r="K13" s="157"/>
      <c r="L13" s="157"/>
      <c r="M13" s="1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76"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160"/>
      <c r="P13" s="176"/>
      <c r="Q13" s="176"/>
      <c r="R13" s="176"/>
      <c r="S13" s="160"/>
      <c r="T13" s="160" t="s">
        <v>2049</v>
      </c>
      <c r="U13" s="176" t="s">
        <v>2050</v>
      </c>
      <c r="V13" s="176"/>
      <c r="W13" s="176"/>
      <c r="X13" s="160"/>
      <c r="Y13" s="189"/>
      <c r="Z13" s="158" t="s">
        <v>2051</v>
      </c>
      <c r="AA13" s="1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158"/>
      <c r="AC13" s="158"/>
      <c r="AD13" s="158"/>
    </row>
    <row r="14" ht="45" customHeight="1" spans="1:30">
      <c r="A14" s="165"/>
      <c r="B14" s="165">
        <v>4</v>
      </c>
      <c r="C14" s="167"/>
      <c r="D14" s="167"/>
      <c r="E14" s="167"/>
      <c r="F14" s="167"/>
      <c r="G14" s="167"/>
      <c r="H14" s="157"/>
      <c r="I14" s="166"/>
      <c r="J14" s="166"/>
      <c r="K14" s="166"/>
      <c r="L14" s="166"/>
      <c r="M14" s="177"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17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60"/>
      <c r="P14" s="176"/>
      <c r="Q14" s="176"/>
      <c r="R14" s="176"/>
      <c r="S14" s="160"/>
      <c r="T14" s="160" t="s">
        <v>2052</v>
      </c>
      <c r="U14" s="1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176"/>
      <c r="W14" s="176"/>
      <c r="X14" s="160"/>
      <c r="Y14" s="189"/>
      <c r="Z14" s="158" t="s">
        <v>2053</v>
      </c>
      <c r="AA14" s="178" t="s">
        <v>2053</v>
      </c>
      <c r="AB14" s="158"/>
      <c r="AC14" s="158"/>
      <c r="AD14" s="158"/>
    </row>
    <row r="15" ht="108" customHeight="1" spans="1:30">
      <c r="A15" s="165"/>
      <c r="B15" s="165">
        <v>5</v>
      </c>
      <c r="C15" s="167"/>
      <c r="D15" s="167"/>
      <c r="E15" s="167"/>
      <c r="F15" s="167"/>
      <c r="G15" s="167"/>
      <c r="H15" s="168" t="s">
        <v>2054</v>
      </c>
      <c r="I15" s="168"/>
      <c r="J15" s="168"/>
      <c r="K15" s="168"/>
      <c r="L15" s="168"/>
      <c r="M15" s="178"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179"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160"/>
      <c r="P15" s="176"/>
      <c r="Q15" s="176"/>
      <c r="R15" s="176"/>
      <c r="S15" s="160"/>
      <c r="T15" s="160" t="s">
        <v>2055</v>
      </c>
      <c r="U15" s="1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176"/>
      <c r="W15" s="176"/>
      <c r="X15" s="160"/>
      <c r="Y15" s="189"/>
      <c r="Z15" s="158" t="s">
        <v>2056</v>
      </c>
      <c r="AA15" s="1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158"/>
      <c r="AC15" s="158"/>
      <c r="AD15" s="158"/>
    </row>
    <row r="16" ht="108" customHeight="1" spans="1:30">
      <c r="A16" s="165"/>
      <c r="B16" s="165">
        <v>6</v>
      </c>
      <c r="C16" s="169"/>
      <c r="D16" s="169"/>
      <c r="E16" s="169"/>
      <c r="F16" s="169"/>
      <c r="G16" s="169"/>
      <c r="H16" s="170"/>
      <c r="I16" s="180"/>
      <c r="J16" s="180"/>
      <c r="K16" s="180"/>
      <c r="L16" s="180"/>
      <c r="M16" s="181"/>
      <c r="N16" s="179"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160"/>
      <c r="P16" s="176"/>
      <c r="Q16" s="176"/>
      <c r="R16" s="176"/>
      <c r="S16" s="160"/>
      <c r="T16" s="160"/>
      <c r="U16" s="176"/>
      <c r="V16" s="176"/>
      <c r="W16" s="176"/>
      <c r="X16" s="160"/>
      <c r="Y16" s="189"/>
      <c r="Z16" s="158" t="s">
        <v>2056</v>
      </c>
      <c r="AA16" s="1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158"/>
      <c r="AC16" s="158"/>
      <c r="AD16" s="158"/>
    </row>
    <row r="17" customHeight="1" spans="1:30">
      <c r="A17" s="165"/>
      <c r="B17" s="165"/>
      <c r="C17" s="165">
        <v>22</v>
      </c>
      <c r="D17" s="165">
        <v>21</v>
      </c>
      <c r="E17" s="165">
        <v>42</v>
      </c>
      <c r="F17" s="165">
        <v>63</v>
      </c>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row>
    <row r="18" ht="27" customHeight="1" spans="1:30">
      <c r="A18" s="161" t="s">
        <v>1673</v>
      </c>
      <c r="B18" s="165">
        <v>1</v>
      </c>
      <c r="C18" s="160" t="s">
        <v>2040</v>
      </c>
      <c r="D18" s="171" t="s">
        <v>2040</v>
      </c>
      <c r="E18" s="160" t="s">
        <v>2040</v>
      </c>
      <c r="F18" s="160" t="s">
        <v>2040</v>
      </c>
      <c r="G18" s="160"/>
      <c r="H18" s="172"/>
      <c r="I18" s="182">
        <f>INDEX(TEMPLATE_NUMBER_POINT_FHD,B18,MATCH(TEMPLATE_SPHERE,TEMPLATE_SPHERE_LIST_FOR_NOTE,0))</f>
        <v>1</v>
      </c>
      <c r="J18" s="182" t="str">
        <f>INDEX(TEMPLATE_DATA_POINT_FHD,B18,MATCH(TEMPLATE_SPHERE,TEMPLATE_SPHERE_LIST_FOR_NOTE,0))</f>
        <v>Выручка от регулируемых видов деятельности в сфере холодного водоснабжения</v>
      </c>
      <c r="K18" s="182" t="str">
        <f>INDEX(TEMPLATE_NOTE_POINT_FHD,B18,MATCH(TEMPLATE_SPHERE,TEMPLATE_SPHERE_LIST_FOR_NOTE,0))</f>
        <v>Указывается выручка с распределением по видам деятельности.</v>
      </c>
      <c r="L18" s="176">
        <f t="shared" ref="L18:L81" si="0">IF(I18=0,"",I18)</f>
        <v>1</v>
      </c>
      <c r="M18" s="176" t="str">
        <f t="shared" ref="M18:M81" si="1">IF(J18=0,"",J18)</f>
        <v>Выручка от регулируемых видов деятельности в сфере холодного водоснабжения</v>
      </c>
      <c r="N18" s="176" t="str">
        <f t="shared" ref="N18:N81" si="2">IF(K18=0,"",K18)</f>
        <v>Указывается выручка с распределением по видам деятельности.</v>
      </c>
      <c r="O18" s="183">
        <v>1</v>
      </c>
      <c r="P18" s="183">
        <v>1</v>
      </c>
      <c r="Q18" s="183">
        <v>1</v>
      </c>
      <c r="R18" s="183">
        <v>1</v>
      </c>
      <c r="S18" s="183"/>
      <c r="T18" s="184" t="s">
        <v>2057</v>
      </c>
      <c r="U18" s="158" t="s">
        <v>2058</v>
      </c>
      <c r="V18" s="158" t="s">
        <v>2059</v>
      </c>
      <c r="W18" s="158" t="s">
        <v>2060</v>
      </c>
      <c r="X18" s="160"/>
      <c r="Y18" s="189"/>
      <c r="Z18" s="158" t="s">
        <v>2061</v>
      </c>
      <c r="AA18" s="178" t="s">
        <v>2062</v>
      </c>
      <c r="AB18" s="178" t="s">
        <v>2062</v>
      </c>
      <c r="AC18" s="178" t="s">
        <v>2062</v>
      </c>
      <c r="AD18" s="158"/>
    </row>
    <row r="19" ht="36" customHeight="1" spans="1:30">
      <c r="A19" s="161"/>
      <c r="B19" s="165">
        <v>2</v>
      </c>
      <c r="C19" s="160" t="s">
        <v>2044</v>
      </c>
      <c r="D19" s="171" t="s">
        <v>2044</v>
      </c>
      <c r="E19" s="160" t="s">
        <v>2044</v>
      </c>
      <c r="F19" s="160" t="s">
        <v>2044</v>
      </c>
      <c r="G19" s="160"/>
      <c r="H19" s="172"/>
      <c r="I19" s="182">
        <f>INDEX(TEMPLATE_NUMBER_POINT_FHD,B19,MATCH(TEMPLATE_SPHERE,TEMPLATE_SPHERE_LIST_FOR_NOTE,0))</f>
        <v>2</v>
      </c>
      <c r="J19" s="182"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82" t="str">
        <f>INDEX(TEMPLATE_NOTE_POINT_FHD,B19,MATCH(TEMPLATE_SPHERE,TEMPLATE_SPHERE_LIST_FOR_NOTE,0))</f>
        <v>Указывается суммарная себестоимость производимых товаров.</v>
      </c>
      <c r="L19" s="176">
        <f t="shared" si="0"/>
        <v>2</v>
      </c>
      <c r="M19" s="176" t="str">
        <f t="shared" si="1"/>
        <v>Себестоимость производимых товаров (оказываемых услуг) по регулируемым видам деятельности в сфере холодного водоснабжения, включая:</v>
      </c>
      <c r="N19" s="176" t="str">
        <f t="shared" si="2"/>
        <v>Указывается суммарная себестоимость производимых товаров.</v>
      </c>
      <c r="O19" s="183">
        <v>2</v>
      </c>
      <c r="P19" s="183">
        <v>2</v>
      </c>
      <c r="Q19" s="183">
        <v>2</v>
      </c>
      <c r="R19" s="183">
        <v>2</v>
      </c>
      <c r="S19" s="183"/>
      <c r="T19" s="184" t="s">
        <v>2063</v>
      </c>
      <c r="U19" s="158" t="s">
        <v>2064</v>
      </c>
      <c r="V19" s="158" t="s">
        <v>2065</v>
      </c>
      <c r="W19" s="158" t="s">
        <v>2066</v>
      </c>
      <c r="X19" s="160"/>
      <c r="Y19" s="189"/>
      <c r="Z19" s="158" t="s">
        <v>2067</v>
      </c>
      <c r="AA19" s="178" t="s">
        <v>2067</v>
      </c>
      <c r="AB19" s="178" t="s">
        <v>2067</v>
      </c>
      <c r="AC19" s="178" t="s">
        <v>2067</v>
      </c>
      <c r="AD19" s="158"/>
    </row>
    <row r="20" ht="27" customHeight="1" spans="1:30">
      <c r="A20" s="161"/>
      <c r="B20" s="165">
        <v>3</v>
      </c>
      <c r="C20" s="160">
        <v>1</v>
      </c>
      <c r="D20" s="171"/>
      <c r="E20" s="160"/>
      <c r="F20" s="160"/>
      <c r="G20" s="160"/>
      <c r="H20" s="172"/>
      <c r="I20" s="182" t="str">
        <f>INDEX(TEMPLATE_NUMBER_POINT_FHD,B20,MATCH(TEMPLATE_SPHERE,TEMPLATE_SPHERE_LIST_FOR_NOTE,0))</f>
        <v>2.1</v>
      </c>
      <c r="J20" s="182"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82">
        <f>INDEX(TEMPLATE_NOTE_POINT_FHD,B20,MATCH(TEMPLATE_SPHERE,TEMPLATE_SPHERE_LIST_FOR_NOTE,0))</f>
        <v>0</v>
      </c>
      <c r="L20" s="176" t="str">
        <f t="shared" si="0"/>
        <v>2.1</v>
      </c>
      <c r="M20" s="176" t="str">
        <f t="shared" si="1"/>
        <v>Расходы на оплату холодной воды, приобретаемой у других организаций для последующей подачи потребителям</v>
      </c>
      <c r="N20" s="176" t="str">
        <f t="shared" si="2"/>
        <v/>
      </c>
      <c r="O20" s="183" t="s">
        <v>718</v>
      </c>
      <c r="P20" s="183" t="s">
        <v>718</v>
      </c>
      <c r="Q20" s="183" t="s">
        <v>718</v>
      </c>
      <c r="R20" s="183" t="s">
        <v>718</v>
      </c>
      <c r="S20" s="183"/>
      <c r="T20" s="184" t="s">
        <v>2068</v>
      </c>
      <c r="U20" s="158" t="s">
        <v>2069</v>
      </c>
      <c r="V20" s="158" t="s">
        <v>2070</v>
      </c>
      <c r="W20" s="158" t="s">
        <v>2071</v>
      </c>
      <c r="X20" s="160"/>
      <c r="Y20" s="189"/>
      <c r="Z20" s="158"/>
      <c r="AA20" s="178"/>
      <c r="AB20" s="158"/>
      <c r="AC20" s="158"/>
      <c r="AD20" s="158"/>
    </row>
    <row r="21" ht="36" customHeight="1" spans="1:30">
      <c r="A21" s="161"/>
      <c r="B21" s="165">
        <v>4</v>
      </c>
      <c r="C21" s="160">
        <v>2</v>
      </c>
      <c r="D21" s="171"/>
      <c r="E21" s="160"/>
      <c r="F21" s="160"/>
      <c r="G21" s="160"/>
      <c r="H21" s="172"/>
      <c r="I21" s="182">
        <f>INDEX(TEMPLATE_NUMBER_POINT_FHD,B21,MATCH(TEMPLATE_SPHERE,TEMPLATE_SPHERE_LIST_FOR_NOTE,0))</f>
        <v>0</v>
      </c>
      <c r="J21" s="182">
        <f>INDEX(TEMPLATE_DATA_POINT_FHD,B21,MATCH(TEMPLATE_SPHERE,TEMPLATE_SPHERE_LIST_FOR_NOTE,0))</f>
        <v>0</v>
      </c>
      <c r="K21" s="182">
        <f>INDEX(TEMPLATE_NOTE_POINT_FHD,B21,MATCH(TEMPLATE_SPHERE,TEMPLATE_SPHERE_LIST_FOR_NOTE,0))</f>
        <v>0</v>
      </c>
      <c r="L21" s="176" t="str">
        <f t="shared" si="0"/>
        <v/>
      </c>
      <c r="M21" s="176" t="str">
        <f t="shared" si="1"/>
        <v/>
      </c>
      <c r="N21" s="176" t="str">
        <f t="shared" si="2"/>
        <v/>
      </c>
      <c r="O21" s="183" t="s">
        <v>312</v>
      </c>
      <c r="P21" s="183"/>
      <c r="Q21" s="183"/>
      <c r="R21" s="183"/>
      <c r="S21" s="183"/>
      <c r="T21" s="184" t="s">
        <v>2072</v>
      </c>
      <c r="U21" s="158"/>
      <c r="V21" s="158"/>
      <c r="W21" s="158"/>
      <c r="X21" s="160"/>
      <c r="Y21" s="189"/>
      <c r="Z21" s="158" t="s">
        <v>2073</v>
      </c>
      <c r="AA21" s="178"/>
      <c r="AB21" s="158"/>
      <c r="AC21" s="158"/>
      <c r="AD21" s="158"/>
    </row>
    <row r="22" ht="36" customHeight="1" spans="1:30">
      <c r="A22" s="161"/>
      <c r="B22" s="165">
        <v>5</v>
      </c>
      <c r="C22" s="160">
        <v>3</v>
      </c>
      <c r="D22" s="171"/>
      <c r="E22" s="160"/>
      <c r="F22" s="160"/>
      <c r="G22" s="173"/>
      <c r="H22" s="174"/>
      <c r="I22" s="182">
        <f>INDEX(TEMPLATE_NUMBER_POINT_FHD,B22,MATCH(TEMPLATE_SPHERE,TEMPLATE_SPHERE_LIST_FOR_NOTE,0))</f>
        <v>0</v>
      </c>
      <c r="J22" s="182">
        <f>INDEX(TEMPLATE_DATA_POINT_FHD,B22,MATCH(TEMPLATE_SPHERE,TEMPLATE_SPHERE_LIST_FOR_NOTE,0))</f>
        <v>0</v>
      </c>
      <c r="K22" s="182">
        <f>INDEX(TEMPLATE_NOTE_POINT_FHD,B22,MATCH(TEMPLATE_SPHERE,TEMPLATE_SPHERE_LIST_FOR_NOTE,0))</f>
        <v>0</v>
      </c>
      <c r="L22" s="176" t="str">
        <f t="shared" si="0"/>
        <v/>
      </c>
      <c r="M22" s="176" t="str">
        <f t="shared" si="1"/>
        <v/>
      </c>
      <c r="N22" s="176" t="str">
        <f t="shared" si="2"/>
        <v/>
      </c>
      <c r="O22" s="183"/>
      <c r="P22" s="183"/>
      <c r="Q22" s="183" t="s">
        <v>312</v>
      </c>
      <c r="R22" s="183"/>
      <c r="S22" s="183"/>
      <c r="T22" s="184"/>
      <c r="U22" s="158"/>
      <c r="V22" s="158" t="s">
        <v>2074</v>
      </c>
      <c r="W22" s="158"/>
      <c r="X22" s="160"/>
      <c r="Y22" s="189"/>
      <c r="Z22" s="158"/>
      <c r="AA22" s="178"/>
      <c r="AB22" s="158"/>
      <c r="AC22" s="158"/>
      <c r="AD22" s="158"/>
    </row>
    <row r="23" ht="27" customHeight="1" spans="1:30">
      <c r="A23" s="161"/>
      <c r="B23" s="165">
        <v>6</v>
      </c>
      <c r="C23" s="160">
        <v>4</v>
      </c>
      <c r="D23" s="171"/>
      <c r="E23" s="160"/>
      <c r="F23" s="160"/>
      <c r="G23" s="173"/>
      <c r="H23" s="174"/>
      <c r="I23" s="182">
        <f>INDEX(TEMPLATE_NUMBER_POINT_FHD,B23,MATCH(TEMPLATE_SPHERE,TEMPLATE_SPHERE_LIST_FOR_NOTE,0))</f>
        <v>0</v>
      </c>
      <c r="J23" s="182">
        <f>INDEX(TEMPLATE_DATA_POINT_FHD,B23,MATCH(TEMPLATE_SPHERE,TEMPLATE_SPHERE_LIST_FOR_NOTE,0))</f>
        <v>0</v>
      </c>
      <c r="K23" s="182">
        <f>INDEX(TEMPLATE_NOTE_POINT_FHD,B23,MATCH(TEMPLATE_SPHERE,TEMPLATE_SPHERE_LIST_FOR_NOTE,0))</f>
        <v>0</v>
      </c>
      <c r="L23" s="176" t="str">
        <f t="shared" si="0"/>
        <v/>
      </c>
      <c r="M23" s="176" t="str">
        <f t="shared" si="1"/>
        <v/>
      </c>
      <c r="N23" s="176" t="str">
        <f t="shared" si="2"/>
        <v/>
      </c>
      <c r="O23" s="183"/>
      <c r="P23" s="183"/>
      <c r="Q23" s="183" t="s">
        <v>315</v>
      </c>
      <c r="R23" s="183"/>
      <c r="S23" s="183"/>
      <c r="T23" s="184"/>
      <c r="U23" s="158"/>
      <c r="V23" s="158" t="s">
        <v>2075</v>
      </c>
      <c r="W23" s="158"/>
      <c r="X23" s="160"/>
      <c r="Y23" s="189"/>
      <c r="Z23" s="158"/>
      <c r="AA23" s="178"/>
      <c r="AB23" s="158"/>
      <c r="AC23" s="158"/>
      <c r="AD23" s="158"/>
    </row>
    <row r="24" ht="36" customHeight="1" spans="1:30">
      <c r="A24" s="161"/>
      <c r="B24" s="165">
        <v>7</v>
      </c>
      <c r="C24" s="160">
        <v>5</v>
      </c>
      <c r="D24" s="171"/>
      <c r="E24" s="160"/>
      <c r="F24" s="160"/>
      <c r="G24" s="173"/>
      <c r="H24" s="174"/>
      <c r="I24" s="182">
        <f>INDEX(TEMPLATE_NUMBER_POINT_FHD,B24,MATCH(TEMPLATE_SPHERE,TEMPLATE_SPHERE_LIST_FOR_NOTE,0))</f>
        <v>0</v>
      </c>
      <c r="J24" s="182">
        <f>INDEX(TEMPLATE_DATA_POINT_FHD,B24,MATCH(TEMPLATE_SPHERE,TEMPLATE_SPHERE_LIST_FOR_NOTE,0))</f>
        <v>0</v>
      </c>
      <c r="K24" s="182">
        <f>INDEX(TEMPLATE_NOTE_POINT_FHD,B24,MATCH(TEMPLATE_SPHERE,TEMPLATE_SPHERE_LIST_FOR_NOTE,0))</f>
        <v>0</v>
      </c>
      <c r="L24" s="176" t="str">
        <f t="shared" si="0"/>
        <v/>
      </c>
      <c r="M24" s="176" t="str">
        <f t="shared" si="1"/>
        <v/>
      </c>
      <c r="N24" s="176" t="str">
        <f t="shared" si="2"/>
        <v/>
      </c>
      <c r="O24" s="183"/>
      <c r="P24" s="183"/>
      <c r="Q24" s="183" t="s">
        <v>738</v>
      </c>
      <c r="R24" s="183"/>
      <c r="S24" s="183"/>
      <c r="T24" s="184"/>
      <c r="U24" s="158"/>
      <c r="V24" s="158" t="s">
        <v>2076</v>
      </c>
      <c r="W24" s="158"/>
      <c r="X24" s="160"/>
      <c r="Y24" s="189"/>
      <c r="Z24" s="158"/>
      <c r="AA24" s="178"/>
      <c r="AB24" s="158"/>
      <c r="AC24" s="158"/>
      <c r="AD24" s="158"/>
    </row>
    <row r="25" ht="36" customHeight="1" spans="1:30">
      <c r="A25" s="161"/>
      <c r="B25" s="165">
        <v>8</v>
      </c>
      <c r="C25" s="160">
        <v>6</v>
      </c>
      <c r="D25" s="171"/>
      <c r="E25" s="160"/>
      <c r="F25" s="160"/>
      <c r="G25" s="173"/>
      <c r="H25" s="174"/>
      <c r="I25" s="182" t="str">
        <f>INDEX(TEMPLATE_NUMBER_POINT_FHD,B25,MATCH(TEMPLATE_SPHERE,TEMPLATE_SPHERE_LIST_FOR_NOTE,0))</f>
        <v>2.2</v>
      </c>
      <c r="J25" s="18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82">
        <f>INDEX(TEMPLATE_NOTE_POINT_FHD,B25,MATCH(TEMPLATE_SPHERE,TEMPLATE_SPHERE_LIST_FOR_NOTE,0))</f>
        <v>0</v>
      </c>
      <c r="L25" s="176" t="str">
        <f t="shared" si="0"/>
        <v>2.2</v>
      </c>
      <c r="M25" s="176" t="str">
        <f t="shared" si="1"/>
        <v>Расходы на приобретаемую электрическую энергию (мощность), используемую в технологическом процессе</v>
      </c>
      <c r="N25" s="176" t="str">
        <f t="shared" si="2"/>
        <v/>
      </c>
      <c r="O25" s="183" t="s">
        <v>315</v>
      </c>
      <c r="P25" s="183" t="s">
        <v>312</v>
      </c>
      <c r="Q25" s="183" t="s">
        <v>745</v>
      </c>
      <c r="R25" s="183" t="s">
        <v>312</v>
      </c>
      <c r="S25" s="183"/>
      <c r="T25" s="184" t="s">
        <v>2077</v>
      </c>
      <c r="U25" s="158" t="s">
        <v>2077</v>
      </c>
      <c r="V25" s="158" t="s">
        <v>2077</v>
      </c>
      <c r="W25" s="158" t="s">
        <v>2077</v>
      </c>
      <c r="X25" s="160"/>
      <c r="Y25" s="189"/>
      <c r="Z25" s="158"/>
      <c r="AA25" s="178"/>
      <c r="AB25" s="158"/>
      <c r="AC25" s="158"/>
      <c r="AD25" s="158"/>
    </row>
    <row r="26" ht="18" customHeight="1" spans="1:30">
      <c r="A26" s="161"/>
      <c r="B26" s="165">
        <v>9</v>
      </c>
      <c r="C26" s="160" t="s">
        <v>662</v>
      </c>
      <c r="D26" s="171"/>
      <c r="E26" s="160"/>
      <c r="F26" s="160"/>
      <c r="G26" s="173"/>
      <c r="H26" s="174"/>
      <c r="I26" s="182" t="str">
        <f>INDEX(TEMPLATE_NUMBER_POINT_FHD,B26,MATCH(TEMPLATE_SPHERE,TEMPLATE_SPHERE_LIST_FOR_NOTE,0))</f>
        <v>2.2.1</v>
      </c>
      <c r="J26" s="182" t="str">
        <f>INDEX(TEMPLATE_DATA_POINT_FHD,B26,MATCH(TEMPLATE_SPHERE,TEMPLATE_SPHERE_LIST_FOR_NOTE,0))</f>
        <v>Средневзвешенная стоимость 1 кВт.ч (с учетом мощности)</v>
      </c>
      <c r="K26" s="182">
        <f>INDEX(TEMPLATE_NOTE_POINT_FHD,B26,MATCH(TEMPLATE_SPHERE,TEMPLATE_SPHERE_LIST_FOR_NOTE,0))</f>
        <v>0</v>
      </c>
      <c r="L26" s="176" t="str">
        <f t="shared" si="0"/>
        <v>2.2.1</v>
      </c>
      <c r="M26" s="176" t="str">
        <f t="shared" si="1"/>
        <v>Средневзвешенная стоимость 1 кВт.ч (с учетом мощности)</v>
      </c>
      <c r="N26" s="176" t="str">
        <f t="shared" si="2"/>
        <v/>
      </c>
      <c r="O26" s="183" t="s">
        <v>734</v>
      </c>
      <c r="P26" s="183" t="s">
        <v>728</v>
      </c>
      <c r="Q26" s="183" t="s">
        <v>2078</v>
      </c>
      <c r="R26" s="183" t="s">
        <v>728</v>
      </c>
      <c r="S26" s="183"/>
      <c r="T26" s="184" t="str">
        <f>"Средневзвешенная стоимость 1 кВт.ч"&amp;IF(TITLE_TYPE_ORG="Регулируемая организация"," (с учетом мощности)","")</f>
        <v>Средневзвешенная стоимость 1 кВт.ч</v>
      </c>
      <c r="U26" s="184" t="s">
        <v>2079</v>
      </c>
      <c r="V26" s="184" t="s">
        <v>2079</v>
      </c>
      <c r="W26" s="184" t="s">
        <v>2079</v>
      </c>
      <c r="X26" s="160"/>
      <c r="Y26" s="189"/>
      <c r="Z26" s="158"/>
      <c r="AA26" s="178"/>
      <c r="AB26" s="158"/>
      <c r="AC26" s="158"/>
      <c r="AD26" s="158"/>
    </row>
    <row r="27" ht="18" customHeight="1" spans="1:30">
      <c r="A27" s="161"/>
      <c r="B27" s="165">
        <v>10</v>
      </c>
      <c r="C27" s="160" t="s">
        <v>666</v>
      </c>
      <c r="D27" s="171"/>
      <c r="E27" s="160"/>
      <c r="F27" s="160"/>
      <c r="G27" s="173"/>
      <c r="H27" s="174"/>
      <c r="I27" s="182" t="str">
        <f>INDEX(TEMPLATE_NUMBER_POINT_FHD,B27,MATCH(TEMPLATE_SPHERE,TEMPLATE_SPHERE_LIST_FOR_NOTE,0))</f>
        <v>2.2.2</v>
      </c>
      <c r="J27" s="182" t="str">
        <f>INDEX(TEMPLATE_DATA_POINT_FHD,B27,MATCH(TEMPLATE_SPHERE,TEMPLATE_SPHERE_LIST_FOR_NOTE,0))</f>
        <v>Объём приобретения электрической энергии</v>
      </c>
      <c r="K27" s="182">
        <f>INDEX(TEMPLATE_NOTE_POINT_FHD,B27,MATCH(TEMPLATE_SPHERE,TEMPLATE_SPHERE_LIST_FOR_NOTE,0))</f>
        <v>0</v>
      </c>
      <c r="L27" s="176" t="str">
        <f t="shared" si="0"/>
        <v>2.2.2</v>
      </c>
      <c r="M27" s="176" t="str">
        <f t="shared" si="1"/>
        <v>Объём приобретения электрической энергии</v>
      </c>
      <c r="N27" s="176" t="str">
        <f t="shared" si="2"/>
        <v/>
      </c>
      <c r="O27" s="183" t="s">
        <v>736</v>
      </c>
      <c r="P27" s="183" t="s">
        <v>730</v>
      </c>
      <c r="Q27" s="183" t="s">
        <v>2080</v>
      </c>
      <c r="R27" s="183" t="s">
        <v>730</v>
      </c>
      <c r="S27" s="183"/>
      <c r="T27" s="184" t="s">
        <v>2081</v>
      </c>
      <c r="U27" s="184" t="s">
        <v>2081</v>
      </c>
      <c r="V27" s="184" t="s">
        <v>2081</v>
      </c>
      <c r="W27" s="184" t="s">
        <v>2081</v>
      </c>
      <c r="X27" s="160"/>
      <c r="Y27" s="189"/>
      <c r="Z27" s="158"/>
      <c r="AA27" s="178"/>
      <c r="AB27" s="158"/>
      <c r="AC27" s="158"/>
      <c r="AD27" s="158"/>
    </row>
    <row r="28" ht="27" customHeight="1" spans="1:30">
      <c r="A28" s="161"/>
      <c r="B28" s="165">
        <v>11</v>
      </c>
      <c r="C28" s="160">
        <v>7</v>
      </c>
      <c r="D28" s="171"/>
      <c r="E28" s="160"/>
      <c r="F28" s="160"/>
      <c r="G28" s="173"/>
      <c r="H28" s="174"/>
      <c r="I28" s="182">
        <f>INDEX(TEMPLATE_NUMBER_POINT_FHD,B28,MATCH(TEMPLATE_SPHERE,TEMPLATE_SPHERE_LIST_FOR_NOTE,0))</f>
        <v>0</v>
      </c>
      <c r="J28" s="182">
        <f>INDEX(TEMPLATE_DATA_POINT_FHD,B28,MATCH(TEMPLATE_SPHERE,TEMPLATE_SPHERE_LIST_FOR_NOTE,0))</f>
        <v>0</v>
      </c>
      <c r="K28" s="182">
        <f>INDEX(TEMPLATE_NOTE_POINT_FHD,B28,MATCH(TEMPLATE_SPHERE,TEMPLATE_SPHERE_LIST_FOR_NOTE,0))</f>
        <v>0</v>
      </c>
      <c r="L28" s="176" t="str">
        <f t="shared" si="0"/>
        <v/>
      </c>
      <c r="M28" s="176" t="str">
        <f t="shared" si="1"/>
        <v/>
      </c>
      <c r="N28" s="176" t="str">
        <f t="shared" si="2"/>
        <v/>
      </c>
      <c r="O28" s="183" t="s">
        <v>738</v>
      </c>
      <c r="P28" s="183"/>
      <c r="Q28" s="183"/>
      <c r="R28" s="183"/>
      <c r="S28" s="183"/>
      <c r="T28" s="184" t="s">
        <v>2082</v>
      </c>
      <c r="U28" s="158"/>
      <c r="V28" s="158"/>
      <c r="W28" s="158"/>
      <c r="X28" s="160"/>
      <c r="Y28" s="189"/>
      <c r="Z28" s="158"/>
      <c r="AA28" s="178"/>
      <c r="AB28" s="158"/>
      <c r="AC28" s="158"/>
      <c r="AD28" s="158"/>
    </row>
    <row r="29" ht="27" customHeight="1" spans="1:30">
      <c r="A29" s="161"/>
      <c r="B29" s="165">
        <v>12</v>
      </c>
      <c r="C29" s="160">
        <v>8</v>
      </c>
      <c r="D29" s="171"/>
      <c r="E29" s="160"/>
      <c r="F29" s="160"/>
      <c r="G29" s="173"/>
      <c r="H29" s="174"/>
      <c r="I29" s="182" t="str">
        <f>INDEX(TEMPLATE_NUMBER_POINT_FHD,B29,MATCH(TEMPLATE_SPHERE,TEMPLATE_SPHERE_LIST_FOR_NOTE,0))</f>
        <v>2.3</v>
      </c>
      <c r="J29" s="182" t="str">
        <f>INDEX(TEMPLATE_DATA_POINT_FHD,B29,MATCH(TEMPLATE_SPHERE,TEMPLATE_SPHERE_LIST_FOR_NOTE,0))</f>
        <v>Расходы на химические реагенты, используемые в технологическом процессе</v>
      </c>
      <c r="K29" s="182">
        <f>INDEX(TEMPLATE_NOTE_POINT_FHD,B29,MATCH(TEMPLATE_SPHERE,TEMPLATE_SPHERE_LIST_FOR_NOTE,0))</f>
        <v>0</v>
      </c>
      <c r="L29" s="176" t="str">
        <f t="shared" si="0"/>
        <v>2.3</v>
      </c>
      <c r="M29" s="176" t="str">
        <f t="shared" si="1"/>
        <v>Расходы на химические реагенты, используемые в технологическом процессе</v>
      </c>
      <c r="N29" s="176" t="str">
        <f t="shared" si="2"/>
        <v/>
      </c>
      <c r="O29" s="183" t="s">
        <v>745</v>
      </c>
      <c r="P29" s="183" t="s">
        <v>315</v>
      </c>
      <c r="Q29" s="183"/>
      <c r="R29" s="183" t="s">
        <v>315</v>
      </c>
      <c r="S29" s="183"/>
      <c r="T29" s="18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58" t="s">
        <v>2083</v>
      </c>
      <c r="V29" s="158"/>
      <c r="W29" s="158" t="s">
        <v>2083</v>
      </c>
      <c r="X29" s="160"/>
      <c r="Y29" s="189"/>
      <c r="Z29" s="158"/>
      <c r="AA29" s="178"/>
      <c r="AB29" s="158"/>
      <c r="AC29" s="158"/>
      <c r="AD29" s="158"/>
    </row>
    <row r="30" ht="54" customHeight="1" spans="1:30">
      <c r="A30" s="161"/>
      <c r="B30" s="165">
        <v>13</v>
      </c>
      <c r="C30" s="160">
        <v>9</v>
      </c>
      <c r="D30" s="171"/>
      <c r="E30" s="160"/>
      <c r="F30" s="160"/>
      <c r="G30" s="173"/>
      <c r="H30" s="174"/>
      <c r="I30" s="182" t="str">
        <f>INDEX(TEMPLATE_NUMBER_POINT_FHD,B30,MATCH(TEMPLATE_SPHERE,TEMPLATE_SPHERE_LIST_FOR_NOTE,0))</f>
        <v>2.4</v>
      </c>
      <c r="J30" s="18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82"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76" t="str">
        <f t="shared" si="0"/>
        <v>2.4</v>
      </c>
      <c r="M30" s="176" t="str">
        <f t="shared" si="1"/>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76" t="str">
        <f t="shared" si="2"/>
        <v>Указывается общая сумма расходов на оплату труда и отчислений на социальные нужды основного производственного персонала.</v>
      </c>
      <c r="O30" s="183" t="s">
        <v>747</v>
      </c>
      <c r="P30" s="183" t="s">
        <v>738</v>
      </c>
      <c r="Q30" s="183" t="s">
        <v>747</v>
      </c>
      <c r="R30" s="183" t="s">
        <v>738</v>
      </c>
      <c r="S30" s="183"/>
      <c r="T30" s="184" t="s">
        <v>2084</v>
      </c>
      <c r="U30" s="158" t="s">
        <v>2084</v>
      </c>
      <c r="V30" s="158" t="s">
        <v>2084</v>
      </c>
      <c r="W30" s="158" t="s">
        <v>2084</v>
      </c>
      <c r="X30" s="160"/>
      <c r="Y30" s="189"/>
      <c r="Z30" s="158"/>
      <c r="AA30" s="178" t="s">
        <v>2085</v>
      </c>
      <c r="AB30" s="178" t="s">
        <v>2085</v>
      </c>
      <c r="AC30" s="178" t="s">
        <v>2085</v>
      </c>
      <c r="AD30" s="158"/>
    </row>
    <row r="31" ht="18" customHeight="1" spans="1:30">
      <c r="A31" s="161"/>
      <c r="B31" s="165">
        <v>14</v>
      </c>
      <c r="C31" s="160" t="s">
        <v>2086</v>
      </c>
      <c r="D31" s="171"/>
      <c r="E31" s="160"/>
      <c r="F31" s="160"/>
      <c r="G31" s="173"/>
      <c r="H31" s="174"/>
      <c r="I31" s="182" t="str">
        <f>INDEX(TEMPLATE_NUMBER_POINT_FHD,B31,MATCH(TEMPLATE_SPHERE,TEMPLATE_SPHERE_LIST_FOR_NOTE,0))</f>
        <v>2.4.1</v>
      </c>
      <c r="J31" s="182" t="str">
        <f>INDEX(TEMPLATE_DATA_POINT_FHD,B31,MATCH(TEMPLATE_SPHERE,TEMPLATE_SPHERE_LIST_FOR_NOTE,0))</f>
        <v>Расходы на оплату труда основного производственного персонала</v>
      </c>
      <c r="K31" s="182">
        <f>INDEX(TEMPLATE_NOTE_POINT_FHD,B31,MATCH(TEMPLATE_SPHERE,TEMPLATE_SPHERE_LIST_FOR_NOTE,0))</f>
        <v>0</v>
      </c>
      <c r="L31" s="176" t="str">
        <f t="shared" si="0"/>
        <v>2.4.1</v>
      </c>
      <c r="M31" s="176" t="str">
        <f t="shared" si="1"/>
        <v>Расходы на оплату труда основного производственного персонала</v>
      </c>
      <c r="N31" s="176" t="str">
        <f t="shared" si="2"/>
        <v/>
      </c>
      <c r="O31" s="183" t="s">
        <v>2087</v>
      </c>
      <c r="P31" s="183" t="s">
        <v>741</v>
      </c>
      <c r="Q31" s="183" t="s">
        <v>2087</v>
      </c>
      <c r="R31" s="183" t="s">
        <v>741</v>
      </c>
      <c r="S31" s="183"/>
      <c r="T31" s="185" t="s">
        <v>2088</v>
      </c>
      <c r="U31" s="158" t="s">
        <v>2088</v>
      </c>
      <c r="V31" s="158" t="s">
        <v>2088</v>
      </c>
      <c r="W31" s="158" t="s">
        <v>2088</v>
      </c>
      <c r="X31" s="160"/>
      <c r="Y31" s="189"/>
      <c r="Z31" s="158"/>
      <c r="AA31" s="178"/>
      <c r="AB31" s="178"/>
      <c r="AC31" s="178"/>
      <c r="AD31" s="158"/>
    </row>
    <row r="32" ht="36" customHeight="1" spans="1:30">
      <c r="A32" s="161"/>
      <c r="B32" s="165">
        <v>15</v>
      </c>
      <c r="C32" s="160" t="s">
        <v>2089</v>
      </c>
      <c r="D32" s="171"/>
      <c r="E32" s="160"/>
      <c r="F32" s="160"/>
      <c r="G32" s="173"/>
      <c r="H32" s="174"/>
      <c r="I32" s="182" t="str">
        <f>INDEX(TEMPLATE_NUMBER_POINT_FHD,B32,MATCH(TEMPLATE_SPHERE,TEMPLATE_SPHERE_LIST_FOR_NOTE,0))</f>
        <v>2.4.2</v>
      </c>
      <c r="J32" s="18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82">
        <f>INDEX(TEMPLATE_NOTE_POINT_FHD,B32,MATCH(TEMPLATE_SPHERE,TEMPLATE_SPHERE_LIST_FOR_NOTE,0))</f>
        <v>0</v>
      </c>
      <c r="L32" s="176" t="str">
        <f t="shared" si="0"/>
        <v>2.4.2</v>
      </c>
      <c r="M32" s="176" t="str">
        <f t="shared" si="1"/>
        <v>Страховые взносы на обязательное социальное страхование, выплачиваемые из фонда оплаты труда основного производственного персонала</v>
      </c>
      <c r="N32" s="176" t="str">
        <f t="shared" si="2"/>
        <v/>
      </c>
      <c r="O32" s="183" t="s">
        <v>2090</v>
      </c>
      <c r="P32" s="183" t="s">
        <v>743</v>
      </c>
      <c r="Q32" s="183" t="s">
        <v>2090</v>
      </c>
      <c r="R32" s="183" t="s">
        <v>743</v>
      </c>
      <c r="S32" s="183"/>
      <c r="T32" s="18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58" t="s">
        <v>2091</v>
      </c>
      <c r="V32" s="158" t="s">
        <v>2091</v>
      </c>
      <c r="W32" s="158" t="s">
        <v>2091</v>
      </c>
      <c r="X32" s="160"/>
      <c r="Y32" s="189"/>
      <c r="Z32" s="158"/>
      <c r="AA32" s="178"/>
      <c r="AB32" s="178"/>
      <c r="AC32" s="178"/>
      <c r="AD32" s="158"/>
    </row>
    <row r="33" ht="45" customHeight="1" spans="1:30">
      <c r="A33" s="161"/>
      <c r="B33" s="165">
        <v>16</v>
      </c>
      <c r="C33" s="160">
        <v>10</v>
      </c>
      <c r="D33" s="171"/>
      <c r="E33" s="160"/>
      <c r="F33" s="160"/>
      <c r="G33" s="173"/>
      <c r="H33" s="174"/>
      <c r="I33" s="182" t="str">
        <f>INDEX(TEMPLATE_NUMBER_POINT_FHD,B33,MATCH(TEMPLATE_SPHERE,TEMPLATE_SPHERE_LIST_FOR_NOTE,0))</f>
        <v>2.5</v>
      </c>
      <c r="J33" s="18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82"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76" t="str">
        <f t="shared" si="0"/>
        <v>2.5</v>
      </c>
      <c r="M33" s="176" t="str">
        <f t="shared" si="1"/>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76" t="str">
        <f t="shared" si="2"/>
        <v>Указывается общая сумма расходов на оплату труда и отчислений на социальные нужды административно-управленческого персонала.</v>
      </c>
      <c r="O33" s="183" t="s">
        <v>749</v>
      </c>
      <c r="P33" s="183" t="s">
        <v>745</v>
      </c>
      <c r="Q33" s="183" t="s">
        <v>749</v>
      </c>
      <c r="R33" s="183" t="s">
        <v>745</v>
      </c>
      <c r="S33" s="183"/>
      <c r="T33" s="18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58" t="s">
        <v>2092</v>
      </c>
      <c r="V33" s="158" t="s">
        <v>2092</v>
      </c>
      <c r="W33" s="158" t="s">
        <v>2093</v>
      </c>
      <c r="X33" s="160"/>
      <c r="Y33" s="189"/>
      <c r="Z33" s="158"/>
      <c r="AA33" s="178" t="s">
        <v>2094</v>
      </c>
      <c r="AB33" s="178" t="s">
        <v>2094</v>
      </c>
      <c r="AC33" s="178" t="s">
        <v>2094</v>
      </c>
      <c r="AD33" s="158"/>
    </row>
    <row r="34" ht="27" customHeight="1" spans="1:30">
      <c r="A34" s="161"/>
      <c r="B34" s="165">
        <v>17</v>
      </c>
      <c r="C34" s="160" t="s">
        <v>2095</v>
      </c>
      <c r="D34" s="171"/>
      <c r="E34" s="160"/>
      <c r="F34" s="160"/>
      <c r="G34" s="173"/>
      <c r="H34" s="174"/>
      <c r="I34" s="182" t="str">
        <f>INDEX(TEMPLATE_NUMBER_POINT_FHD,B34,MATCH(TEMPLATE_SPHERE,TEMPLATE_SPHERE_LIST_FOR_NOTE,0))</f>
        <v>2.5.1</v>
      </c>
      <c r="J34" s="182" t="str">
        <f>INDEX(TEMPLATE_DATA_POINT_FHD,B34,MATCH(TEMPLATE_SPHERE,TEMPLATE_SPHERE_LIST_FOR_NOTE,0))</f>
        <v>Расходы на оплату труда административно-управленческого персонала</v>
      </c>
      <c r="K34" s="182">
        <f>INDEX(TEMPLATE_NOTE_POINT_FHD,B34,MATCH(TEMPLATE_SPHERE,TEMPLATE_SPHERE_LIST_FOR_NOTE,0))</f>
        <v>0</v>
      </c>
      <c r="L34" s="176" t="str">
        <f t="shared" si="0"/>
        <v>2.5.1</v>
      </c>
      <c r="M34" s="176" t="str">
        <f t="shared" si="1"/>
        <v>Расходы на оплату труда административно-управленческого персонала</v>
      </c>
      <c r="N34" s="176" t="str">
        <f t="shared" si="2"/>
        <v/>
      </c>
      <c r="O34" s="183" t="s">
        <v>2096</v>
      </c>
      <c r="P34" s="183" t="s">
        <v>2078</v>
      </c>
      <c r="Q34" s="183" t="s">
        <v>2096</v>
      </c>
      <c r="R34" s="183" t="s">
        <v>2078</v>
      </c>
      <c r="S34" s="183"/>
      <c r="T34" s="186" t="s">
        <v>2097</v>
      </c>
      <c r="U34" s="158" t="s">
        <v>2097</v>
      </c>
      <c r="V34" s="158" t="s">
        <v>2097</v>
      </c>
      <c r="W34" s="158" t="s">
        <v>2098</v>
      </c>
      <c r="X34" s="160"/>
      <c r="Y34" s="189"/>
      <c r="Z34" s="158"/>
      <c r="AA34" s="178"/>
      <c r="AB34" s="158"/>
      <c r="AC34" s="158"/>
      <c r="AD34" s="158"/>
    </row>
    <row r="35" ht="45" customHeight="1" spans="1:30">
      <c r="A35" s="161"/>
      <c r="B35" s="165">
        <v>18</v>
      </c>
      <c r="C35" s="160" t="s">
        <v>2099</v>
      </c>
      <c r="D35" s="171"/>
      <c r="E35" s="160"/>
      <c r="F35" s="160"/>
      <c r="G35" s="173"/>
      <c r="H35" s="174"/>
      <c r="I35" s="182" t="str">
        <f>INDEX(TEMPLATE_NUMBER_POINT_FHD,B35,MATCH(TEMPLATE_SPHERE,TEMPLATE_SPHERE_LIST_FOR_NOTE,0))</f>
        <v>2.5.2</v>
      </c>
      <c r="J35" s="18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82">
        <f>INDEX(TEMPLATE_NOTE_POINT_FHD,B35,MATCH(TEMPLATE_SPHERE,TEMPLATE_SPHERE_LIST_FOR_NOTE,0))</f>
        <v>0</v>
      </c>
      <c r="L35" s="176" t="str">
        <f t="shared" si="0"/>
        <v>2.5.2</v>
      </c>
      <c r="M35" s="176" t="str">
        <f t="shared" si="1"/>
        <v>Страховые взносы на обязательное социальное страхование, выплачиваемые из фонда оплаты труда административно-управленческого персонала</v>
      </c>
      <c r="N35" s="176" t="str">
        <f t="shared" si="2"/>
        <v/>
      </c>
      <c r="O35" s="183" t="s">
        <v>2100</v>
      </c>
      <c r="P35" s="183" t="s">
        <v>2080</v>
      </c>
      <c r="Q35" s="183" t="s">
        <v>2100</v>
      </c>
      <c r="R35" s="183" t="s">
        <v>2080</v>
      </c>
      <c r="S35" s="183"/>
      <c r="T35" s="18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58" t="s">
        <v>2101</v>
      </c>
      <c r="V35" s="158" t="s">
        <v>2101</v>
      </c>
      <c r="W35" s="158" t="s">
        <v>2101</v>
      </c>
      <c r="X35" s="160"/>
      <c r="Y35" s="189"/>
      <c r="Z35" s="158"/>
      <c r="AA35" s="178"/>
      <c r="AB35" s="158"/>
      <c r="AC35" s="158"/>
      <c r="AD35" s="158"/>
    </row>
    <row r="36" ht="18" customHeight="1" spans="1:30">
      <c r="A36" s="161"/>
      <c r="B36" s="165">
        <v>19</v>
      </c>
      <c r="C36" s="160">
        <v>11</v>
      </c>
      <c r="D36" s="171"/>
      <c r="E36" s="160"/>
      <c r="F36" s="160"/>
      <c r="G36" s="173"/>
      <c r="H36" s="174"/>
      <c r="I36" s="182" t="str">
        <f>INDEX(TEMPLATE_NUMBER_POINT_FHD,B36,MATCH(TEMPLATE_SPHERE,TEMPLATE_SPHERE_LIST_FOR_NOTE,0))</f>
        <v>2.6</v>
      </c>
      <c r="J36" s="182" t="str">
        <f>INDEX(TEMPLATE_DATA_POINT_FHD,B36,MATCH(TEMPLATE_SPHERE,TEMPLATE_SPHERE_LIST_FOR_NOTE,0))</f>
        <v>Расходы на амортизацию основных средств и нематериальных активов</v>
      </c>
      <c r="K36" s="182">
        <f>INDEX(TEMPLATE_NOTE_POINT_FHD,B36,MATCH(TEMPLATE_SPHERE,TEMPLATE_SPHERE_LIST_FOR_NOTE,0))</f>
        <v>0</v>
      </c>
      <c r="L36" s="176" t="str">
        <f t="shared" si="0"/>
        <v>2.6</v>
      </c>
      <c r="M36" s="176" t="str">
        <f t="shared" si="1"/>
        <v>Расходы на амортизацию основных средств и нематериальных активов</v>
      </c>
      <c r="N36" s="176" t="str">
        <f t="shared" si="2"/>
        <v/>
      </c>
      <c r="O36" s="183" t="s">
        <v>751</v>
      </c>
      <c r="P36" s="183" t="s">
        <v>747</v>
      </c>
      <c r="Q36" s="183" t="s">
        <v>751</v>
      </c>
      <c r="R36" s="183" t="s">
        <v>747</v>
      </c>
      <c r="S36" s="183"/>
      <c r="T36" s="184" t="s">
        <v>2102</v>
      </c>
      <c r="U36" s="158" t="s">
        <v>2102</v>
      </c>
      <c r="V36" s="158" t="s">
        <v>2102</v>
      </c>
      <c r="W36" s="158" t="s">
        <v>2102</v>
      </c>
      <c r="X36" s="160"/>
      <c r="Y36" s="189"/>
      <c r="Z36" s="158"/>
      <c r="AA36" s="178"/>
      <c r="AB36" s="158"/>
      <c r="AC36" s="158"/>
      <c r="AD36" s="158"/>
    </row>
    <row r="37" ht="18" customHeight="1" spans="1:30">
      <c r="A37" s="161"/>
      <c r="B37" s="165">
        <v>20</v>
      </c>
      <c r="C37" s="160" t="s">
        <v>2103</v>
      </c>
      <c r="D37" s="171"/>
      <c r="E37" s="160"/>
      <c r="F37" s="160"/>
      <c r="G37" s="173"/>
      <c r="H37" s="174"/>
      <c r="I37" s="182" t="str">
        <f>INDEX(TEMPLATE_NUMBER_POINT_FHD,B37,MATCH(TEMPLATE_SPHERE,TEMPLATE_SPHERE_LIST_FOR_NOTE,0))</f>
        <v>2.6.1</v>
      </c>
      <c r="J37" s="182" t="str">
        <f>INDEX(TEMPLATE_DATA_POINT_FHD,B37,MATCH(TEMPLATE_SPHERE,TEMPLATE_SPHERE_LIST_FOR_NOTE,0))</f>
        <v>Расходы на амортизацию основных средств</v>
      </c>
      <c r="K37" s="182">
        <f>INDEX(TEMPLATE_NOTE_POINT_FHD,B37,MATCH(TEMPLATE_SPHERE,TEMPLATE_SPHERE_LIST_FOR_NOTE,0))</f>
        <v>0</v>
      </c>
      <c r="L37" s="176" t="str">
        <f t="shared" si="0"/>
        <v>2.6.1</v>
      </c>
      <c r="M37" s="176" t="str">
        <f t="shared" si="1"/>
        <v>Расходы на амортизацию основных средств</v>
      </c>
      <c r="N37" s="176" t="str">
        <f t="shared" si="2"/>
        <v/>
      </c>
      <c r="O37" s="183" t="s">
        <v>2104</v>
      </c>
      <c r="P37" s="183" t="s">
        <v>2087</v>
      </c>
      <c r="Q37" s="183" t="s">
        <v>2104</v>
      </c>
      <c r="R37" s="183" t="s">
        <v>2087</v>
      </c>
      <c r="S37" s="183"/>
      <c r="T37" s="184" t="s">
        <v>2105</v>
      </c>
      <c r="U37" s="158" t="s">
        <v>2105</v>
      </c>
      <c r="V37" s="158" t="s">
        <v>2105</v>
      </c>
      <c r="W37" s="158" t="s">
        <v>2105</v>
      </c>
      <c r="X37" s="160"/>
      <c r="Y37" s="189"/>
      <c r="Z37" s="158"/>
      <c r="AA37" s="178"/>
      <c r="AB37" s="158"/>
      <c r="AC37" s="158"/>
      <c r="AD37" s="158"/>
    </row>
    <row r="38" ht="18" customHeight="1" spans="1:30">
      <c r="A38" s="161"/>
      <c r="B38" s="165">
        <v>21</v>
      </c>
      <c r="C38" s="160" t="s">
        <v>2106</v>
      </c>
      <c r="D38" s="171"/>
      <c r="E38" s="160"/>
      <c r="F38" s="160"/>
      <c r="G38" s="173"/>
      <c r="H38" s="174"/>
      <c r="I38" s="182" t="str">
        <f>INDEX(TEMPLATE_NUMBER_POINT_FHD,B38,MATCH(TEMPLATE_SPHERE,TEMPLATE_SPHERE_LIST_FOR_NOTE,0))</f>
        <v>2.6.2</v>
      </c>
      <c r="J38" s="182" t="str">
        <f>INDEX(TEMPLATE_DATA_POINT_FHD,B38,MATCH(TEMPLATE_SPHERE,TEMPLATE_SPHERE_LIST_FOR_NOTE,0))</f>
        <v>Расходы на амортизацию нематериальных активов</v>
      </c>
      <c r="K38" s="182">
        <f>INDEX(TEMPLATE_NOTE_POINT_FHD,B38,MATCH(TEMPLATE_SPHERE,TEMPLATE_SPHERE_LIST_FOR_NOTE,0))</f>
        <v>0</v>
      </c>
      <c r="L38" s="176" t="str">
        <f t="shared" si="0"/>
        <v>2.6.2</v>
      </c>
      <c r="M38" s="176" t="str">
        <f t="shared" si="1"/>
        <v>Расходы на амортизацию нематериальных активов</v>
      </c>
      <c r="N38" s="176" t="str">
        <f t="shared" si="2"/>
        <v/>
      </c>
      <c r="O38" s="183" t="s">
        <v>2107</v>
      </c>
      <c r="P38" s="183" t="s">
        <v>2090</v>
      </c>
      <c r="Q38" s="183" t="s">
        <v>2107</v>
      </c>
      <c r="R38" s="183" t="s">
        <v>2090</v>
      </c>
      <c r="S38" s="183"/>
      <c r="T38" s="184" t="s">
        <v>2108</v>
      </c>
      <c r="U38" s="158" t="s">
        <v>2108</v>
      </c>
      <c r="V38" s="158" t="s">
        <v>2108</v>
      </c>
      <c r="W38" s="158" t="s">
        <v>2108</v>
      </c>
      <c r="X38" s="160"/>
      <c r="Y38" s="189"/>
      <c r="Z38" s="158"/>
      <c r="AA38" s="178"/>
      <c r="AB38" s="158"/>
      <c r="AC38" s="158"/>
      <c r="AD38" s="158"/>
    </row>
    <row r="39" ht="36" customHeight="1" spans="1:30">
      <c r="A39" s="161"/>
      <c r="B39" s="165">
        <v>22</v>
      </c>
      <c r="C39" s="160">
        <v>12</v>
      </c>
      <c r="D39" s="171"/>
      <c r="E39" s="160"/>
      <c r="F39" s="160"/>
      <c r="G39" s="173"/>
      <c r="H39" s="174"/>
      <c r="I39" s="182" t="str">
        <f>INDEX(TEMPLATE_NUMBER_POINT_FHD,B39,MATCH(TEMPLATE_SPHERE,TEMPLATE_SPHERE_LIST_FOR_NOTE,0))</f>
        <v>2.7</v>
      </c>
      <c r="J39" s="182"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82">
        <f>INDEX(TEMPLATE_NOTE_POINT_FHD,B39,MATCH(TEMPLATE_SPHERE,TEMPLATE_SPHERE_LIST_FOR_NOTE,0))</f>
        <v>0</v>
      </c>
      <c r="L39" s="176" t="str">
        <f t="shared" si="0"/>
        <v>2.7</v>
      </c>
      <c r="M39" s="176" t="str">
        <f t="shared" si="1"/>
        <v>Расходы на аренду имущества, используемого для осуществления регулируемых видов деятельности в сфере холодного водоснабжения</v>
      </c>
      <c r="N39" s="176" t="str">
        <f t="shared" si="2"/>
        <v/>
      </c>
      <c r="O39" s="183" t="s">
        <v>755</v>
      </c>
      <c r="P39" s="183" t="s">
        <v>749</v>
      </c>
      <c r="Q39" s="183" t="s">
        <v>755</v>
      </c>
      <c r="R39" s="183" t="s">
        <v>749</v>
      </c>
      <c r="S39" s="183"/>
      <c r="T39" s="184" t="s">
        <v>2109</v>
      </c>
      <c r="U39" s="158" t="s">
        <v>2110</v>
      </c>
      <c r="V39" s="158" t="s">
        <v>2111</v>
      </c>
      <c r="W39" s="158" t="s">
        <v>2112</v>
      </c>
      <c r="X39" s="160"/>
      <c r="Y39" s="189"/>
      <c r="Z39" s="158"/>
      <c r="AA39" s="178"/>
      <c r="AB39" s="158"/>
      <c r="AC39" s="158"/>
      <c r="AD39" s="158"/>
    </row>
    <row r="40" ht="18" customHeight="1" spans="1:30">
      <c r="A40" s="161"/>
      <c r="B40" s="165">
        <v>23</v>
      </c>
      <c r="C40" s="160">
        <v>13</v>
      </c>
      <c r="D40" s="171"/>
      <c r="E40" s="160"/>
      <c r="F40" s="160"/>
      <c r="G40" s="160"/>
      <c r="H40" s="175"/>
      <c r="I40" s="182" t="str">
        <f>INDEX(TEMPLATE_NUMBER_POINT_FHD,B40,MATCH(TEMPLATE_SPHERE,TEMPLATE_SPHERE_LIST_FOR_NOTE,0))</f>
        <v>2.8</v>
      </c>
      <c r="J40" s="182" t="str">
        <f>INDEX(TEMPLATE_DATA_POINT_FHD,B40,MATCH(TEMPLATE_SPHERE,TEMPLATE_SPHERE_LIST_FOR_NOTE,0))</f>
        <v>Общепроизводственные расходы, в том числе:</v>
      </c>
      <c r="K40" s="182" t="str">
        <f>INDEX(TEMPLATE_NOTE_POINT_FHD,B40,MATCH(TEMPLATE_SPHERE,TEMPLATE_SPHERE_LIST_FOR_NOTE,0))</f>
        <v>Указывается общая сумма общепроизводственных расходов.</v>
      </c>
      <c r="L40" s="176" t="str">
        <f t="shared" si="0"/>
        <v>2.8</v>
      </c>
      <c r="M40" s="176" t="str">
        <f t="shared" si="1"/>
        <v>Общепроизводственные расходы, в том числе:</v>
      </c>
      <c r="N40" s="176" t="str">
        <f t="shared" si="2"/>
        <v>Указывается общая сумма общепроизводственных расходов.</v>
      </c>
      <c r="O40" s="183" t="s">
        <v>2113</v>
      </c>
      <c r="P40" s="183" t="s">
        <v>751</v>
      </c>
      <c r="Q40" s="183" t="s">
        <v>2113</v>
      </c>
      <c r="R40" s="183" t="s">
        <v>751</v>
      </c>
      <c r="S40" s="183"/>
      <c r="T40" s="160" t="s">
        <v>2114</v>
      </c>
      <c r="U40" s="160" t="s">
        <v>2114</v>
      </c>
      <c r="V40" s="160" t="s">
        <v>2114</v>
      </c>
      <c r="W40" s="160" t="s">
        <v>2114</v>
      </c>
      <c r="X40" s="160"/>
      <c r="Y40" s="189"/>
      <c r="Z40" s="158" t="s">
        <v>2115</v>
      </c>
      <c r="AA40" s="178" t="s">
        <v>2115</v>
      </c>
      <c r="AB40" s="178" t="s">
        <v>2115</v>
      </c>
      <c r="AC40" s="178" t="s">
        <v>2115</v>
      </c>
      <c r="AD40" s="158"/>
    </row>
    <row r="41" ht="27" customHeight="1" spans="1:30">
      <c r="A41" s="161"/>
      <c r="B41" s="165">
        <v>24</v>
      </c>
      <c r="C41" s="160" t="s">
        <v>2116</v>
      </c>
      <c r="D41" s="171"/>
      <c r="E41" s="160"/>
      <c r="F41" s="160"/>
      <c r="G41" s="160"/>
      <c r="H41" s="173"/>
      <c r="I41" s="182" t="str">
        <f>INDEX(TEMPLATE_NUMBER_POINT_FHD,B41,MATCH(TEMPLATE_SPHERE,TEMPLATE_SPHERE_LIST_FOR_NOTE,0))</f>
        <v>2.8.1</v>
      </c>
      <c r="J41" s="182" t="str">
        <f>INDEX(TEMPLATE_DATA_POINT_FHD,B41,MATCH(TEMPLATE_SPHERE,TEMPLATE_SPHERE_LIST_FOR_NOTE,0))</f>
        <v>Расходы на текущий ремонт</v>
      </c>
      <c r="K41" s="182" t="str">
        <f>INDEX(TEMPLATE_NOTE_POINT_FHD,B41,MATCH(TEMPLATE_SPHERE,TEMPLATE_SPHERE_LIST_FOR_NOTE,0))</f>
        <v>Указываются расходы на текущий ремонт, отнесенные к общепроизводственным расходам.</v>
      </c>
      <c r="L41" s="176" t="str">
        <f t="shared" si="0"/>
        <v>2.8.1</v>
      </c>
      <c r="M41" s="176" t="str">
        <f t="shared" si="1"/>
        <v>Расходы на текущий ремонт</v>
      </c>
      <c r="N41" s="176" t="str">
        <f t="shared" si="2"/>
        <v>Указываются расходы на текущий ремонт, отнесенные к общепроизводственным расходам.</v>
      </c>
      <c r="O41" s="183" t="s">
        <v>2117</v>
      </c>
      <c r="P41" s="183" t="s">
        <v>2104</v>
      </c>
      <c r="Q41" s="183" t="s">
        <v>2117</v>
      </c>
      <c r="R41" s="183" t="s">
        <v>2104</v>
      </c>
      <c r="S41" s="183"/>
      <c r="T41" s="160" t="s">
        <v>2118</v>
      </c>
      <c r="U41" s="160" t="s">
        <v>2118</v>
      </c>
      <c r="V41" s="160" t="s">
        <v>2118</v>
      </c>
      <c r="W41" s="160" t="s">
        <v>2118</v>
      </c>
      <c r="X41" s="160"/>
      <c r="Y41" s="189"/>
      <c r="Z41" s="158" t="s">
        <v>2119</v>
      </c>
      <c r="AA41" s="158" t="s">
        <v>2119</v>
      </c>
      <c r="AB41" s="158" t="s">
        <v>2119</v>
      </c>
      <c r="AC41" s="158" t="s">
        <v>2119</v>
      </c>
      <c r="AD41" s="158"/>
    </row>
    <row r="42" ht="27" customHeight="1" spans="1:30">
      <c r="A42" s="161"/>
      <c r="B42" s="165">
        <v>25</v>
      </c>
      <c r="C42" s="160" t="s">
        <v>2120</v>
      </c>
      <c r="D42" s="171"/>
      <c r="E42" s="160"/>
      <c r="F42" s="160"/>
      <c r="G42" s="160"/>
      <c r="H42" s="173"/>
      <c r="I42" s="182" t="str">
        <f>INDEX(TEMPLATE_NUMBER_POINT_FHD,B42,MATCH(TEMPLATE_SPHERE,TEMPLATE_SPHERE_LIST_FOR_NOTE,0))</f>
        <v>2.8.2</v>
      </c>
      <c r="J42" s="182" t="str">
        <f>INDEX(TEMPLATE_DATA_POINT_FHD,B42,MATCH(TEMPLATE_SPHERE,TEMPLATE_SPHERE_LIST_FOR_NOTE,0))</f>
        <v>Расходы на капитальный ремонт</v>
      </c>
      <c r="K42" s="182" t="str">
        <f>INDEX(TEMPLATE_NOTE_POINT_FHD,B42,MATCH(TEMPLATE_SPHERE,TEMPLATE_SPHERE_LIST_FOR_NOTE,0))</f>
        <v>Указываются расходы на капитальный ремонт, отнесенные к общепроизводственным расходам.</v>
      </c>
      <c r="L42" s="176" t="str">
        <f t="shared" si="0"/>
        <v>2.8.2</v>
      </c>
      <c r="M42" s="176" t="str">
        <f t="shared" si="1"/>
        <v>Расходы на капитальный ремонт</v>
      </c>
      <c r="N42" s="176" t="str">
        <f t="shared" si="2"/>
        <v>Указываются расходы на капитальный ремонт, отнесенные к общепроизводственным расходам.</v>
      </c>
      <c r="O42" s="183" t="s">
        <v>2121</v>
      </c>
      <c r="P42" s="183" t="s">
        <v>2107</v>
      </c>
      <c r="Q42" s="183" t="s">
        <v>2121</v>
      </c>
      <c r="R42" s="183" t="s">
        <v>2107</v>
      </c>
      <c r="S42" s="183"/>
      <c r="T42" s="160" t="s">
        <v>2122</v>
      </c>
      <c r="U42" s="160" t="s">
        <v>2122</v>
      </c>
      <c r="V42" s="160" t="s">
        <v>2122</v>
      </c>
      <c r="W42" s="160" t="s">
        <v>2122</v>
      </c>
      <c r="X42" s="160"/>
      <c r="Y42" s="189"/>
      <c r="Z42" s="158" t="s">
        <v>2123</v>
      </c>
      <c r="AA42" s="158" t="s">
        <v>2123</v>
      </c>
      <c r="AB42" s="158" t="s">
        <v>2123</v>
      </c>
      <c r="AC42" s="158" t="s">
        <v>2123</v>
      </c>
      <c r="AD42" s="158"/>
    </row>
    <row r="43" ht="18" customHeight="1" spans="1:30">
      <c r="A43" s="161"/>
      <c r="B43" s="165">
        <v>26</v>
      </c>
      <c r="C43" s="160">
        <v>14</v>
      </c>
      <c r="D43" s="171"/>
      <c r="E43" s="160"/>
      <c r="F43" s="160"/>
      <c r="G43" s="160"/>
      <c r="H43" s="173"/>
      <c r="I43" s="182" t="str">
        <f>INDEX(TEMPLATE_NUMBER_POINT_FHD,B43,MATCH(TEMPLATE_SPHERE,TEMPLATE_SPHERE_LIST_FOR_NOTE,0))</f>
        <v>2.9</v>
      </c>
      <c r="J43" s="182" t="str">
        <f>INDEX(TEMPLATE_DATA_POINT_FHD,B43,MATCH(TEMPLATE_SPHERE,TEMPLATE_SPHERE_LIST_FOR_NOTE,0))</f>
        <v>Общехозяйственные расходы, в том числе:</v>
      </c>
      <c r="K43" s="182" t="str">
        <f>INDEX(TEMPLATE_NOTE_POINT_FHD,B43,MATCH(TEMPLATE_SPHERE,TEMPLATE_SPHERE_LIST_FOR_NOTE,0))</f>
        <v>Указывается общая сумма общехозяйственных расходов.</v>
      </c>
      <c r="L43" s="176" t="str">
        <f t="shared" si="0"/>
        <v>2.9</v>
      </c>
      <c r="M43" s="176" t="str">
        <f t="shared" si="1"/>
        <v>Общехозяйственные расходы, в том числе:</v>
      </c>
      <c r="N43" s="176" t="str">
        <f t="shared" si="2"/>
        <v>Указывается общая сумма общехозяйственных расходов.</v>
      </c>
      <c r="O43" s="183" t="s">
        <v>2124</v>
      </c>
      <c r="P43" s="183" t="s">
        <v>755</v>
      </c>
      <c r="Q43" s="183" t="s">
        <v>2124</v>
      </c>
      <c r="R43" s="183" t="s">
        <v>755</v>
      </c>
      <c r="S43" s="183"/>
      <c r="T43" s="160" t="s">
        <v>2125</v>
      </c>
      <c r="U43" s="160" t="s">
        <v>2125</v>
      </c>
      <c r="V43" s="160" t="s">
        <v>2125</v>
      </c>
      <c r="W43" s="160" t="s">
        <v>2125</v>
      </c>
      <c r="X43" s="160"/>
      <c r="Y43" s="189"/>
      <c r="Z43" s="158" t="s">
        <v>2126</v>
      </c>
      <c r="AA43" s="158" t="s">
        <v>2126</v>
      </c>
      <c r="AB43" s="158" t="s">
        <v>2126</v>
      </c>
      <c r="AC43" s="158" t="s">
        <v>2126</v>
      </c>
      <c r="AD43" s="158"/>
    </row>
    <row r="44" ht="27" customHeight="1" spans="1:30">
      <c r="A44" s="161"/>
      <c r="B44" s="165">
        <v>27</v>
      </c>
      <c r="C44" s="160" t="s">
        <v>2127</v>
      </c>
      <c r="D44" s="171"/>
      <c r="E44" s="160"/>
      <c r="F44" s="160"/>
      <c r="G44" s="160"/>
      <c r="H44" s="173"/>
      <c r="I44" s="182" t="str">
        <f>INDEX(TEMPLATE_NUMBER_POINT_FHD,B44,MATCH(TEMPLATE_SPHERE,TEMPLATE_SPHERE_LIST_FOR_NOTE,0))</f>
        <v>2.9.1</v>
      </c>
      <c r="J44" s="182" t="str">
        <f>INDEX(TEMPLATE_DATA_POINT_FHD,B44,MATCH(TEMPLATE_SPHERE,TEMPLATE_SPHERE_LIST_FOR_NOTE,0))</f>
        <v>Расходы на текущий ремонт</v>
      </c>
      <c r="K44" s="182" t="str">
        <f>INDEX(TEMPLATE_NOTE_POINT_FHD,B44,MATCH(TEMPLATE_SPHERE,TEMPLATE_SPHERE_LIST_FOR_NOTE,0))</f>
        <v>Указываются расходы на текущий ремонт, отнесенные к общехозяйственным расходам.</v>
      </c>
      <c r="L44" s="176" t="str">
        <f t="shared" si="0"/>
        <v>2.9.1</v>
      </c>
      <c r="M44" s="176" t="str">
        <f t="shared" si="1"/>
        <v>Расходы на текущий ремонт</v>
      </c>
      <c r="N44" s="176" t="str">
        <f t="shared" si="2"/>
        <v>Указываются расходы на текущий ремонт, отнесенные к общехозяйственным расходам.</v>
      </c>
      <c r="O44" s="183" t="s">
        <v>2128</v>
      </c>
      <c r="P44" s="183" t="s">
        <v>2129</v>
      </c>
      <c r="Q44" s="183" t="s">
        <v>2128</v>
      </c>
      <c r="R44" s="183" t="s">
        <v>2129</v>
      </c>
      <c r="S44" s="183"/>
      <c r="T44" s="160" t="s">
        <v>2118</v>
      </c>
      <c r="U44" s="160" t="s">
        <v>2118</v>
      </c>
      <c r="V44" s="160" t="s">
        <v>2118</v>
      </c>
      <c r="W44" s="160" t="s">
        <v>2118</v>
      </c>
      <c r="X44" s="160"/>
      <c r="Y44" s="189"/>
      <c r="Z44" s="158" t="s">
        <v>2130</v>
      </c>
      <c r="AA44" s="158" t="s">
        <v>2130</v>
      </c>
      <c r="AB44" s="158" t="s">
        <v>2130</v>
      </c>
      <c r="AC44" s="158" t="s">
        <v>2130</v>
      </c>
      <c r="AD44" s="158"/>
    </row>
    <row r="45" ht="27" customHeight="1" spans="1:30">
      <c r="A45" s="161"/>
      <c r="B45" s="165">
        <v>28</v>
      </c>
      <c r="C45" s="160" t="s">
        <v>2131</v>
      </c>
      <c r="D45" s="171"/>
      <c r="E45" s="160"/>
      <c r="F45" s="160"/>
      <c r="G45" s="160"/>
      <c r="H45" s="173"/>
      <c r="I45" s="182" t="str">
        <f>INDEX(TEMPLATE_NUMBER_POINT_FHD,B45,MATCH(TEMPLATE_SPHERE,TEMPLATE_SPHERE_LIST_FOR_NOTE,0))</f>
        <v>2.9.2</v>
      </c>
      <c r="J45" s="182" t="str">
        <f>INDEX(TEMPLATE_DATA_POINT_FHD,B45,MATCH(TEMPLATE_SPHERE,TEMPLATE_SPHERE_LIST_FOR_NOTE,0))</f>
        <v>Расходы на капитальный ремонт</v>
      </c>
      <c r="K45" s="182" t="str">
        <f>INDEX(TEMPLATE_NOTE_POINT_FHD,B45,MATCH(TEMPLATE_SPHERE,TEMPLATE_SPHERE_LIST_FOR_NOTE,0))</f>
        <v>Указываются расходы на капитальный ремонт, отнесенные к общехозяйственным расходам.</v>
      </c>
      <c r="L45" s="176" t="str">
        <f t="shared" si="0"/>
        <v>2.9.2</v>
      </c>
      <c r="M45" s="176" t="str">
        <f t="shared" si="1"/>
        <v>Расходы на капитальный ремонт</v>
      </c>
      <c r="N45" s="176" t="str">
        <f t="shared" si="2"/>
        <v>Указываются расходы на капитальный ремонт, отнесенные к общехозяйственным расходам.</v>
      </c>
      <c r="O45" s="183" t="s">
        <v>2132</v>
      </c>
      <c r="P45" s="183" t="s">
        <v>2133</v>
      </c>
      <c r="Q45" s="183" t="s">
        <v>2132</v>
      </c>
      <c r="R45" s="183" t="s">
        <v>2133</v>
      </c>
      <c r="S45" s="183"/>
      <c r="T45" s="160" t="s">
        <v>2122</v>
      </c>
      <c r="U45" s="160" t="s">
        <v>2122</v>
      </c>
      <c r="V45" s="160" t="s">
        <v>2122</v>
      </c>
      <c r="W45" s="160" t="s">
        <v>2122</v>
      </c>
      <c r="X45" s="160"/>
      <c r="Y45" s="189"/>
      <c r="Z45" s="158" t="s">
        <v>2134</v>
      </c>
      <c r="AA45" s="158" t="s">
        <v>2134</v>
      </c>
      <c r="AB45" s="158" t="s">
        <v>2134</v>
      </c>
      <c r="AC45" s="158" t="s">
        <v>2134</v>
      </c>
      <c r="AD45" s="158"/>
    </row>
    <row r="46" ht="54" customHeight="1" spans="1:30">
      <c r="A46" s="161"/>
      <c r="B46" s="165">
        <v>29</v>
      </c>
      <c r="C46" s="160">
        <v>15</v>
      </c>
      <c r="D46" s="171"/>
      <c r="E46" s="160"/>
      <c r="F46" s="160"/>
      <c r="G46" s="160"/>
      <c r="H46" s="173"/>
      <c r="I46" s="182" t="str">
        <f>INDEX(TEMPLATE_NUMBER_POINT_FHD,B46,MATCH(TEMPLATE_SPHERE,TEMPLATE_SPHERE_LIST_FOR_NOTE,0))</f>
        <v>2.10</v>
      </c>
      <c r="J46" s="182" t="str">
        <f>INDEX(TEMPLATE_DATA_POINT_FHD,B46,MATCH(TEMPLATE_SPHERE,TEMPLATE_SPHERE_LIST_FOR_NOTE,0))</f>
        <v>Расходы на капитальный и текущий ремонт основных средств</v>
      </c>
      <c r="K46" s="182"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76" t="str">
        <f t="shared" si="0"/>
        <v>2.10</v>
      </c>
      <c r="M46" s="176" t="str">
        <f t="shared" si="1"/>
        <v>Расходы на капитальный и текущий ремонт основных средств</v>
      </c>
      <c r="N46" s="176" t="str">
        <f t="shared" si="2"/>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83" t="s">
        <v>2135</v>
      </c>
      <c r="P46" s="183" t="s">
        <v>2113</v>
      </c>
      <c r="Q46" s="183" t="s">
        <v>2135</v>
      </c>
      <c r="R46" s="183" t="s">
        <v>2113</v>
      </c>
      <c r="S46" s="183"/>
      <c r="T46" s="1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60" t="s">
        <v>2136</v>
      </c>
      <c r="V46" s="160" t="s">
        <v>2136</v>
      </c>
      <c r="W46" s="160" t="s">
        <v>2136</v>
      </c>
      <c r="X46" s="160"/>
      <c r="Y46" s="189"/>
      <c r="Z46" s="158" t="s">
        <v>2137</v>
      </c>
      <c r="AA46" s="158" t="s">
        <v>2138</v>
      </c>
      <c r="AB46" s="158" t="s">
        <v>2138</v>
      </c>
      <c r="AC46" s="158" t="s">
        <v>2138</v>
      </c>
      <c r="AD46" s="158"/>
    </row>
    <row r="47" ht="54" customHeight="1" spans="1:30">
      <c r="A47" s="161"/>
      <c r="B47" s="165">
        <v>30</v>
      </c>
      <c r="C47" s="160" t="s">
        <v>2139</v>
      </c>
      <c r="D47" s="171"/>
      <c r="E47" s="160"/>
      <c r="F47" s="160"/>
      <c r="G47" s="160"/>
      <c r="H47" s="173"/>
      <c r="I47" s="182" t="str">
        <f>INDEX(TEMPLATE_NUMBER_POINT_FHD,B47,MATCH(TEMPLATE_SPHERE,TEMPLATE_SPHERE_LIST_FOR_NOTE,0))</f>
        <v>2.10.1</v>
      </c>
      <c r="J47" s="18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82">
        <f>INDEX(TEMPLATE_NOTE_POINT_FHD,B47,MATCH(TEMPLATE_SPHERE,TEMPLATE_SPHERE_LIST_FOR_NOTE,0))</f>
        <v>0</v>
      </c>
      <c r="L47" s="176" t="str">
        <f t="shared" si="0"/>
        <v>2.10.1</v>
      </c>
      <c r="M47" s="176" t="str">
        <f t="shared" si="1"/>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76" t="str">
        <f t="shared" si="2"/>
        <v/>
      </c>
      <c r="O47" s="183" t="s">
        <v>2140</v>
      </c>
      <c r="P47" s="183" t="s">
        <v>2117</v>
      </c>
      <c r="Q47" s="183" t="s">
        <v>2140</v>
      </c>
      <c r="R47" s="183" t="s">
        <v>2117</v>
      </c>
      <c r="S47" s="183"/>
      <c r="T47" s="160" t="s">
        <v>2141</v>
      </c>
      <c r="U47" s="160" t="s">
        <v>2141</v>
      </c>
      <c r="V47" s="160" t="s">
        <v>2141</v>
      </c>
      <c r="W47" s="160" t="s">
        <v>2141</v>
      </c>
      <c r="X47" s="160"/>
      <c r="Y47" s="189"/>
      <c r="Z47" s="158"/>
      <c r="AA47" s="178"/>
      <c r="AB47" s="178"/>
      <c r="AC47" s="178"/>
      <c r="AD47" s="158"/>
    </row>
    <row r="48" ht="54" customHeight="1" spans="1:30">
      <c r="A48" s="161"/>
      <c r="B48" s="165">
        <v>31</v>
      </c>
      <c r="C48" s="160">
        <v>16</v>
      </c>
      <c r="D48" s="171"/>
      <c r="E48" s="160"/>
      <c r="F48" s="160"/>
      <c r="G48" s="160"/>
      <c r="H48" s="173"/>
      <c r="I48" s="182" t="str">
        <f>INDEX(TEMPLATE_NUMBER_POINT_FHD,B48,MATCH(TEMPLATE_SPHERE,TEMPLATE_SPHERE_LIST_FOR_NOTE,0))</f>
        <v>2.11</v>
      </c>
      <c r="J48" s="182"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82"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76" t="str">
        <f t="shared" si="0"/>
        <v>2.11</v>
      </c>
      <c r="M48" s="176" t="str">
        <f t="shared" si="1"/>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176" t="str">
        <f t="shared" si="2"/>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83"/>
      <c r="P48" s="183" t="s">
        <v>2124</v>
      </c>
      <c r="Q48" s="183" t="s">
        <v>2142</v>
      </c>
      <c r="R48" s="183" t="s">
        <v>2124</v>
      </c>
      <c r="S48" s="183"/>
      <c r="T48" s="160"/>
      <c r="U48" s="160" t="s">
        <v>2143</v>
      </c>
      <c r="V48" s="160" t="s">
        <v>2144</v>
      </c>
      <c r="W48" s="160" t="s">
        <v>2144</v>
      </c>
      <c r="X48" s="160"/>
      <c r="Y48" s="189"/>
      <c r="Z48" s="158"/>
      <c r="AA48" s="178" t="s">
        <v>2138</v>
      </c>
      <c r="AB48" s="178" t="s">
        <v>2138</v>
      </c>
      <c r="AC48" s="178" t="s">
        <v>2138</v>
      </c>
      <c r="AD48" s="158"/>
    </row>
    <row r="49" ht="54" customHeight="1" spans="1:30">
      <c r="A49" s="161"/>
      <c r="B49" s="165">
        <v>32</v>
      </c>
      <c r="C49" s="160" t="s">
        <v>2145</v>
      </c>
      <c r="D49" s="171"/>
      <c r="E49" s="160"/>
      <c r="F49" s="160"/>
      <c r="G49" s="160"/>
      <c r="H49" s="173"/>
      <c r="I49" s="182" t="str">
        <f>INDEX(TEMPLATE_NUMBER_POINT_FHD,B49,MATCH(TEMPLATE_SPHERE,TEMPLATE_SPHERE_LIST_FOR_NOTE,0))</f>
        <v>2.11.1</v>
      </c>
      <c r="J49" s="182"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82">
        <f>INDEX(TEMPLATE_NOTE_POINT_FHD,B49,MATCH(TEMPLATE_SPHERE,TEMPLATE_SPHERE_LIST_FOR_NOTE,0))</f>
        <v>0</v>
      </c>
      <c r="L49" s="176" t="str">
        <f t="shared" si="0"/>
        <v>2.11.1</v>
      </c>
      <c r="M49" s="176" t="str">
        <f t="shared" si="1"/>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76" t="str">
        <f t="shared" si="2"/>
        <v/>
      </c>
      <c r="O49" s="183"/>
      <c r="P49" s="183" t="s">
        <v>2128</v>
      </c>
      <c r="Q49" s="183" t="s">
        <v>2146</v>
      </c>
      <c r="R49" s="183" t="s">
        <v>2128</v>
      </c>
      <c r="S49" s="183"/>
      <c r="T49" s="160"/>
      <c r="U49" s="160" t="s">
        <v>2141</v>
      </c>
      <c r="V49" s="160" t="s">
        <v>2141</v>
      </c>
      <c r="W49" s="160" t="s">
        <v>2141</v>
      </c>
      <c r="X49" s="160"/>
      <c r="Y49" s="189"/>
      <c r="Z49" s="158"/>
      <c r="AA49" s="178"/>
      <c r="AB49" s="178"/>
      <c r="AC49" s="178"/>
      <c r="AD49" s="158"/>
    </row>
    <row r="50" ht="126" customHeight="1" spans="1:30">
      <c r="A50" s="161"/>
      <c r="B50" s="165">
        <v>33</v>
      </c>
      <c r="C50" s="160">
        <v>17</v>
      </c>
      <c r="D50" s="171"/>
      <c r="E50" s="160"/>
      <c r="F50" s="160"/>
      <c r="G50" s="160"/>
      <c r="H50" s="173"/>
      <c r="I50" s="182" t="str">
        <f>INDEX(TEMPLATE_NUMBER_POINT_FHD,B50,MATCH(TEMPLATE_SPHERE,TEMPLATE_SPHERE_LIST_FOR_NOTE,0))</f>
        <v>2.12</v>
      </c>
      <c r="J50" s="182"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8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76" t="str">
        <f t="shared" si="0"/>
        <v>2.12</v>
      </c>
      <c r="M50" s="176" t="str">
        <f t="shared" si="1"/>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176" t="str">
        <f t="shared" si="2"/>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83" t="s">
        <v>2142</v>
      </c>
      <c r="P50" s="183" t="s">
        <v>2135</v>
      </c>
      <c r="Q50" s="183" t="s">
        <v>2147</v>
      </c>
      <c r="R50" s="183" t="s">
        <v>2135</v>
      </c>
      <c r="S50" s="183"/>
      <c r="T50" s="160" t="s">
        <v>2148</v>
      </c>
      <c r="U50" s="160" t="s">
        <v>2149</v>
      </c>
      <c r="V50" s="160" t="s">
        <v>2150</v>
      </c>
      <c r="W50" s="160" t="s">
        <v>2151</v>
      </c>
      <c r="X50" s="160"/>
      <c r="Y50" s="189"/>
      <c r="Z50" s="158" t="s">
        <v>2152</v>
      </c>
      <c r="AA50" s="178" t="s">
        <v>2153</v>
      </c>
      <c r="AB50" s="178" t="s">
        <v>2153</v>
      </c>
      <c r="AC50" s="178" t="s">
        <v>2153</v>
      </c>
      <c r="AD50" s="158"/>
    </row>
    <row r="51" ht="27" customHeight="1" spans="1:30">
      <c r="A51" s="161"/>
      <c r="B51" s="165">
        <v>34</v>
      </c>
      <c r="C51" s="160" t="s">
        <v>2154</v>
      </c>
      <c r="D51" s="171"/>
      <c r="E51" s="160"/>
      <c r="F51" s="160"/>
      <c r="G51" s="160"/>
      <c r="H51" s="173"/>
      <c r="I51" s="182">
        <f>INDEX(TEMPLATE_NUMBER_POINT_FHD,B51,MATCH(TEMPLATE_SPHERE,TEMPLATE_SPHERE_LIST_FOR_NOTE,0))</f>
        <v>0</v>
      </c>
      <c r="J51" s="182">
        <f>INDEX(TEMPLATE_DATA_POINT_FHD,B51,MATCH(TEMPLATE_SPHERE,TEMPLATE_SPHERE_LIST_FOR_NOTE,0))</f>
        <v>0</v>
      </c>
      <c r="K51" s="182">
        <f>INDEX(TEMPLATE_NOTE_POINT_FHD,B51,MATCH(TEMPLATE_SPHERE,TEMPLATE_SPHERE_LIST_FOR_NOTE,0))</f>
        <v>0</v>
      </c>
      <c r="L51" s="176" t="str">
        <f t="shared" si="0"/>
        <v/>
      </c>
      <c r="M51" s="176" t="str">
        <f t="shared" si="1"/>
        <v/>
      </c>
      <c r="N51" s="176" t="str">
        <f t="shared" si="2"/>
        <v/>
      </c>
      <c r="O51" s="183" t="s">
        <v>91</v>
      </c>
      <c r="P51" s="183"/>
      <c r="Q51" s="183"/>
      <c r="R51" s="183"/>
      <c r="S51" s="183"/>
      <c r="T51" s="160" t="s">
        <v>2155</v>
      </c>
      <c r="U51" s="160"/>
      <c r="V51" s="160"/>
      <c r="W51" s="160"/>
      <c r="X51" s="160"/>
      <c r="Y51" s="189"/>
      <c r="Z51" s="158"/>
      <c r="AA51" s="178"/>
      <c r="AB51" s="178"/>
      <c r="AC51" s="178"/>
      <c r="AD51" s="158"/>
    </row>
    <row r="52" ht="36" customHeight="1" spans="1:30">
      <c r="A52" s="161"/>
      <c r="B52" s="165">
        <v>35</v>
      </c>
      <c r="C52" s="160" t="s">
        <v>2048</v>
      </c>
      <c r="D52" s="171" t="s">
        <v>2048</v>
      </c>
      <c r="E52" s="160" t="s">
        <v>2048</v>
      </c>
      <c r="F52" s="160" t="s">
        <v>2048</v>
      </c>
      <c r="G52" s="160"/>
      <c r="H52" s="173"/>
      <c r="I52" s="182" t="str">
        <f>INDEX(TEMPLATE_NUMBER_POINT_FHD,B52,MATCH(TEMPLATE_SPHERE,TEMPLATE_SPHERE_LIST_FOR_NOTE,0))</f>
        <v>3</v>
      </c>
      <c r="J52" s="182"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82" t="str">
        <f>INDEX(TEMPLATE_NOTE_POINT_FHD,B52,MATCH(TEMPLATE_SPHERE,TEMPLATE_SPHERE_LIST_FOR_NOTE,0))</f>
        <v>Указывается общая сумма чистой прибыли, полученной от регулируемого вида деятельности.</v>
      </c>
      <c r="L52" s="176" t="str">
        <f t="shared" si="0"/>
        <v>3</v>
      </c>
      <c r="M52" s="176" t="str">
        <f t="shared" si="1"/>
        <v>Чистая прибыль, полученная от регулируемого вида деятельности в сфере холодного водоснабжения, в том числе:</v>
      </c>
      <c r="N52" s="176" t="str">
        <f t="shared" si="2"/>
        <v>Указывается общая сумма чистой прибыли, полученной от регулируемого вида деятельности.</v>
      </c>
      <c r="O52" s="183" t="s">
        <v>92</v>
      </c>
      <c r="P52" s="183" t="s">
        <v>91</v>
      </c>
      <c r="Q52" s="183" t="s">
        <v>91</v>
      </c>
      <c r="R52" s="183" t="s">
        <v>91</v>
      </c>
      <c r="S52" s="183"/>
      <c r="T52" s="160" t="s">
        <v>2156</v>
      </c>
      <c r="U52" s="160" t="s">
        <v>2157</v>
      </c>
      <c r="V52" s="160" t="s">
        <v>2158</v>
      </c>
      <c r="W52" s="160" t="s">
        <v>2159</v>
      </c>
      <c r="X52" s="160"/>
      <c r="Y52" s="189"/>
      <c r="Z52" s="158" t="s">
        <v>759</v>
      </c>
      <c r="AA52" s="178" t="s">
        <v>759</v>
      </c>
      <c r="AB52" s="178" t="s">
        <v>759</v>
      </c>
      <c r="AC52" s="178" t="s">
        <v>759</v>
      </c>
      <c r="AD52" s="158"/>
    </row>
    <row r="53" ht="36" customHeight="1" spans="1:30">
      <c r="A53" s="161"/>
      <c r="B53" s="165">
        <v>36</v>
      </c>
      <c r="C53" s="160">
        <v>1</v>
      </c>
      <c r="D53" s="171"/>
      <c r="E53" s="160"/>
      <c r="F53" s="160"/>
      <c r="G53" s="160"/>
      <c r="H53" s="173"/>
      <c r="I53" s="182" t="str">
        <f>INDEX(TEMPLATE_NUMBER_POINT_FHD,B53,MATCH(TEMPLATE_SPHERE,TEMPLATE_SPHERE_LIST_FOR_NOTE,0))</f>
        <v>3.1</v>
      </c>
      <c r="J53" s="18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82">
        <f>INDEX(TEMPLATE_NOTE_POINT_FHD,B53,MATCH(TEMPLATE_SPHERE,TEMPLATE_SPHERE_LIST_FOR_NOTE,0))</f>
        <v>0</v>
      </c>
      <c r="L53" s="176" t="str">
        <f t="shared" si="0"/>
        <v>3.1</v>
      </c>
      <c r="M53" s="176" t="str">
        <f t="shared" si="1"/>
        <v>Размер расходования чистой прибыли на финансирование мероприятий, предусмотренных инвестиционной программой регулируемой организации</v>
      </c>
      <c r="N53" s="176" t="str">
        <f t="shared" si="2"/>
        <v/>
      </c>
      <c r="O53" s="183" t="s">
        <v>763</v>
      </c>
      <c r="P53" s="183" t="s">
        <v>329</v>
      </c>
      <c r="Q53" s="183" t="s">
        <v>329</v>
      </c>
      <c r="R53" s="183" t="s">
        <v>329</v>
      </c>
      <c r="S53" s="183"/>
      <c r="T53" s="160" t="s">
        <v>2160</v>
      </c>
      <c r="U53" s="160" t="s">
        <v>2160</v>
      </c>
      <c r="V53" s="160" t="s">
        <v>2160</v>
      </c>
      <c r="W53" s="160" t="s">
        <v>2160</v>
      </c>
      <c r="X53" s="160"/>
      <c r="Y53" s="189"/>
      <c r="Z53" s="158"/>
      <c r="AA53" s="178"/>
      <c r="AB53" s="158"/>
      <c r="AC53" s="158"/>
      <c r="AD53" s="158"/>
    </row>
    <row r="54" ht="18" customHeight="1" spans="1:30">
      <c r="A54" s="161"/>
      <c r="B54" s="165">
        <v>37</v>
      </c>
      <c r="C54" s="160" t="s">
        <v>2054</v>
      </c>
      <c r="D54" s="171" t="s">
        <v>2054</v>
      </c>
      <c r="E54" s="160" t="s">
        <v>2054</v>
      </c>
      <c r="F54" s="160" t="s">
        <v>2054</v>
      </c>
      <c r="G54" s="160"/>
      <c r="H54" s="173"/>
      <c r="I54" s="182" t="str">
        <f>INDEX(TEMPLATE_NUMBER_POINT_FHD,B54,MATCH(TEMPLATE_SPHERE,TEMPLATE_SPHERE_LIST_FOR_NOTE,0))</f>
        <v>4</v>
      </c>
      <c r="J54" s="182" t="str">
        <f>INDEX(TEMPLATE_DATA_POINT_FHD,B54,MATCH(TEMPLATE_SPHERE,TEMPLATE_SPHERE_LIST_FOR_NOTE,0))</f>
        <v>Изменение стоимости основных фондов, в том числе:</v>
      </c>
      <c r="K54" s="182" t="str">
        <f>INDEX(TEMPLATE_NOTE_POINT_FHD,B54,MATCH(TEMPLATE_SPHERE,TEMPLATE_SPHERE_LIST_FOR_NOTE,0))</f>
        <v>Указывается общее изменение стоимости основных фондов.</v>
      </c>
      <c r="L54" s="176" t="str">
        <f t="shared" si="0"/>
        <v>4</v>
      </c>
      <c r="M54" s="176" t="str">
        <f t="shared" si="1"/>
        <v>Изменение стоимости основных фондов, в том числе:</v>
      </c>
      <c r="N54" s="176" t="str">
        <f t="shared" si="2"/>
        <v>Указывается общее изменение стоимости основных фондов.</v>
      </c>
      <c r="O54" s="183" t="s">
        <v>113</v>
      </c>
      <c r="P54" s="183" t="s">
        <v>92</v>
      </c>
      <c r="Q54" s="183" t="s">
        <v>92</v>
      </c>
      <c r="R54" s="183" t="s">
        <v>92</v>
      </c>
      <c r="S54" s="183"/>
      <c r="T54" s="160" t="s">
        <v>761</v>
      </c>
      <c r="U54" s="160" t="s">
        <v>761</v>
      </c>
      <c r="V54" s="160" t="s">
        <v>761</v>
      </c>
      <c r="W54" s="160" t="s">
        <v>761</v>
      </c>
      <c r="X54" s="160"/>
      <c r="Y54" s="189"/>
      <c r="Z54" s="158" t="s">
        <v>762</v>
      </c>
      <c r="AA54" s="158" t="s">
        <v>762</v>
      </c>
      <c r="AB54" s="158" t="s">
        <v>762</v>
      </c>
      <c r="AC54" s="158" t="s">
        <v>762</v>
      </c>
      <c r="AD54" s="158"/>
    </row>
    <row r="55" ht="36" customHeight="1" spans="1:30">
      <c r="A55" s="161"/>
      <c r="B55" s="165">
        <v>38</v>
      </c>
      <c r="C55" s="160">
        <v>1</v>
      </c>
      <c r="D55" s="171"/>
      <c r="E55" s="160"/>
      <c r="F55" s="160"/>
      <c r="G55" s="160"/>
      <c r="H55" s="173"/>
      <c r="I55" s="182" t="str">
        <f>INDEX(TEMPLATE_NUMBER_POINT_FHD,B55,MATCH(TEMPLATE_SPHERE,TEMPLATE_SPHERE_LIST_FOR_NOTE,0))</f>
        <v>4.1</v>
      </c>
      <c r="J55" s="182" t="str">
        <f>INDEX(TEMPLATE_DATA_POINT_FHD,B55,MATCH(TEMPLATE_SPHERE,TEMPLATE_SPHERE_LIST_FOR_NOTE,0))</f>
        <v>Изменение стоимости основных фондов за счет их ввода в эксплуатацию (вывода из эксплуатации)</v>
      </c>
      <c r="K55" s="18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76" t="str">
        <f t="shared" si="0"/>
        <v>4.1</v>
      </c>
      <c r="M55" s="176" t="str">
        <f t="shared" si="1"/>
        <v>Изменение стоимости основных фондов за счет их ввода в эксплуатацию (вывода из эксплуатации)</v>
      </c>
      <c r="N55" s="176" t="str">
        <f t="shared" si="2"/>
        <v>Указываются общее изменение стоимости основных фондов за счет их ввода в эксплуатацию и вывода из эксплуатации.</v>
      </c>
      <c r="O55" s="183" t="s">
        <v>318</v>
      </c>
      <c r="P55" s="183" t="s">
        <v>763</v>
      </c>
      <c r="Q55" s="183" t="s">
        <v>763</v>
      </c>
      <c r="R55" s="183" t="s">
        <v>763</v>
      </c>
      <c r="S55" s="183"/>
      <c r="T55" s="1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60" t="s">
        <v>2161</v>
      </c>
      <c r="V55" s="160" t="s">
        <v>2161</v>
      </c>
      <c r="W55" s="160" t="s">
        <v>2161</v>
      </c>
      <c r="X55" s="160"/>
      <c r="Y55" s="189"/>
      <c r="Z55" s="158" t="s">
        <v>2162</v>
      </c>
      <c r="AA55" s="158" t="s">
        <v>2162</v>
      </c>
      <c r="AB55" s="158" t="s">
        <v>2162</v>
      </c>
      <c r="AC55" s="158" t="s">
        <v>2162</v>
      </c>
      <c r="AD55" s="158"/>
    </row>
    <row r="56" ht="27" customHeight="1" spans="1:30">
      <c r="A56" s="161"/>
      <c r="B56" s="165">
        <v>39</v>
      </c>
      <c r="C56" s="160" t="s">
        <v>1031</v>
      </c>
      <c r="D56" s="171"/>
      <c r="E56" s="160"/>
      <c r="F56" s="160"/>
      <c r="G56" s="160"/>
      <c r="H56" s="173"/>
      <c r="I56" s="182" t="str">
        <f>INDEX(TEMPLATE_NUMBER_POINT_FHD,B56,MATCH(TEMPLATE_SPHERE,TEMPLATE_SPHERE_LIST_FOR_NOTE,0))</f>
        <v>4.1.1</v>
      </c>
      <c r="J56" s="182" t="str">
        <f>INDEX(TEMPLATE_DATA_POINT_FHD,B56,MATCH(TEMPLATE_SPHERE,TEMPLATE_SPHERE_LIST_FOR_NOTE,0))</f>
        <v>Изменение стоимости основных фондов за счет их ввода в эксплуатацию</v>
      </c>
      <c r="K56" s="182" t="str">
        <f>INDEX(TEMPLATE_NOTE_POINT_FHD,B56,MATCH(TEMPLATE_SPHERE,TEMPLATE_SPHERE_LIST_FOR_NOTE,0))</f>
        <v>Указываются изменение стоимости основных фондов за счет их ввода в эксплуатацию.</v>
      </c>
      <c r="L56" s="176" t="str">
        <f t="shared" si="0"/>
        <v>4.1.1</v>
      </c>
      <c r="M56" s="176" t="str">
        <f t="shared" si="1"/>
        <v>Изменение стоимости основных фондов за счет их ввода в эксплуатацию</v>
      </c>
      <c r="N56" s="176" t="str">
        <f t="shared" si="2"/>
        <v>Указываются изменение стоимости основных фондов за счет их ввода в эксплуатацию.</v>
      </c>
      <c r="O56" s="183" t="s">
        <v>1158</v>
      </c>
      <c r="P56" s="183" t="s">
        <v>766</v>
      </c>
      <c r="Q56" s="183" t="s">
        <v>766</v>
      </c>
      <c r="R56" s="183" t="s">
        <v>766</v>
      </c>
      <c r="S56" s="183"/>
      <c r="T56" s="1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60" t="s">
        <v>2163</v>
      </c>
      <c r="V56" s="160" t="s">
        <v>2163</v>
      </c>
      <c r="W56" s="160" t="s">
        <v>2163</v>
      </c>
      <c r="X56" s="160"/>
      <c r="Y56" s="189"/>
      <c r="Z56" s="158" t="s">
        <v>768</v>
      </c>
      <c r="AA56" s="158" t="s">
        <v>768</v>
      </c>
      <c r="AB56" s="158" t="s">
        <v>768</v>
      </c>
      <c r="AC56" s="158" t="s">
        <v>768</v>
      </c>
      <c r="AD56" s="158"/>
    </row>
    <row r="57" ht="27" customHeight="1" spans="1:30">
      <c r="A57" s="161"/>
      <c r="B57" s="165">
        <v>40</v>
      </c>
      <c r="C57" s="160" t="s">
        <v>1033</v>
      </c>
      <c r="D57" s="171"/>
      <c r="E57" s="160"/>
      <c r="F57" s="160"/>
      <c r="G57" s="160"/>
      <c r="H57" s="173"/>
      <c r="I57" s="182" t="str">
        <f>INDEX(TEMPLATE_NUMBER_POINT_FHD,B57,MATCH(TEMPLATE_SPHERE,TEMPLATE_SPHERE_LIST_FOR_NOTE,0))</f>
        <v>4.1.2</v>
      </c>
      <c r="J57" s="182" t="str">
        <f>INDEX(TEMPLATE_DATA_POINT_FHD,B57,MATCH(TEMPLATE_SPHERE,TEMPLATE_SPHERE_LIST_FOR_NOTE,0))</f>
        <v>Изменение стоимости основных фондов за счет их вывода в эксплуатацию</v>
      </c>
      <c r="K57" s="182" t="str">
        <f>INDEX(TEMPLATE_NOTE_POINT_FHD,B57,MATCH(TEMPLATE_SPHERE,TEMPLATE_SPHERE_LIST_FOR_NOTE,0))</f>
        <v>Указываются изменение стоимости основных фондов за счет их вывода из эксплуатации.</v>
      </c>
      <c r="L57" s="176" t="str">
        <f t="shared" si="0"/>
        <v>4.1.2</v>
      </c>
      <c r="M57" s="176" t="str">
        <f t="shared" si="1"/>
        <v>Изменение стоимости основных фондов за счет их вывода в эксплуатацию</v>
      </c>
      <c r="N57" s="176" t="str">
        <f t="shared" si="2"/>
        <v>Указываются изменение стоимости основных фондов за счет их вывода из эксплуатации.</v>
      </c>
      <c r="O57" s="183" t="s">
        <v>2164</v>
      </c>
      <c r="P57" s="183" t="s">
        <v>769</v>
      </c>
      <c r="Q57" s="183" t="s">
        <v>769</v>
      </c>
      <c r="R57" s="183" t="s">
        <v>769</v>
      </c>
      <c r="S57" s="183"/>
      <c r="T57" s="1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60" t="s">
        <v>2165</v>
      </c>
      <c r="V57" s="160" t="s">
        <v>2165</v>
      </c>
      <c r="W57" s="160" t="s">
        <v>2165</v>
      </c>
      <c r="X57" s="160"/>
      <c r="Y57" s="189"/>
      <c r="Z57" s="158" t="s">
        <v>771</v>
      </c>
      <c r="AA57" s="158" t="s">
        <v>771</v>
      </c>
      <c r="AB57" s="158" t="s">
        <v>771</v>
      </c>
      <c r="AC57" s="158" t="s">
        <v>771</v>
      </c>
      <c r="AD57" s="158"/>
    </row>
    <row r="58" ht="18" customHeight="1" spans="1:30">
      <c r="A58" s="161"/>
      <c r="B58" s="165">
        <v>41</v>
      </c>
      <c r="C58" s="160">
        <v>2</v>
      </c>
      <c r="D58" s="171"/>
      <c r="E58" s="160"/>
      <c r="F58" s="160"/>
      <c r="G58" s="160"/>
      <c r="H58" s="173"/>
      <c r="I58" s="182" t="str">
        <f>INDEX(TEMPLATE_NUMBER_POINT_FHD,B58,MATCH(TEMPLATE_SPHERE,TEMPLATE_SPHERE_LIST_FOR_NOTE,0))</f>
        <v>4.2</v>
      </c>
      <c r="J58" s="182" t="str">
        <f>INDEX(TEMPLATE_DATA_POINT_FHD,B58,MATCH(TEMPLATE_SPHERE,TEMPLATE_SPHERE_LIST_FOR_NOTE,0))</f>
        <v>Изменение стоимости основных фондов за счет их переоценки</v>
      </c>
      <c r="K58" s="182">
        <f>INDEX(TEMPLATE_NOTE_POINT_FHD,B58,MATCH(TEMPLATE_SPHERE,TEMPLATE_SPHERE_LIST_FOR_NOTE,0))</f>
        <v>0</v>
      </c>
      <c r="L58" s="176" t="str">
        <f t="shared" si="0"/>
        <v>4.2</v>
      </c>
      <c r="M58" s="176" t="str">
        <f t="shared" si="1"/>
        <v>Изменение стоимости основных фондов за счет их переоценки</v>
      </c>
      <c r="N58" s="176" t="str">
        <f t="shared" si="2"/>
        <v/>
      </c>
      <c r="O58" s="183" t="s">
        <v>891</v>
      </c>
      <c r="P58" s="183" t="s">
        <v>805</v>
      </c>
      <c r="Q58" s="183" t="s">
        <v>805</v>
      </c>
      <c r="R58" s="183" t="s">
        <v>805</v>
      </c>
      <c r="S58" s="183"/>
      <c r="T58" s="176" t="str">
        <f>IF(TITLE_TYPE_ORG="Регулируемая организация","Изменение стоимости основных фондов за счет их переоценки","за счет их переоценки")</f>
        <v>за счет их переоценки</v>
      </c>
      <c r="U58" s="160" t="s">
        <v>2166</v>
      </c>
      <c r="V58" s="160" t="s">
        <v>2166</v>
      </c>
      <c r="W58" s="160" t="s">
        <v>2166</v>
      </c>
      <c r="X58" s="160"/>
      <c r="Y58" s="189"/>
      <c r="Z58" s="158"/>
      <c r="AA58" s="178"/>
      <c r="AB58" s="158"/>
      <c r="AC58" s="158"/>
      <c r="AD58" s="158"/>
    </row>
    <row r="59" ht="36" customHeight="1" spans="1:30">
      <c r="A59" s="161"/>
      <c r="B59" s="165">
        <v>42</v>
      </c>
      <c r="C59" s="160">
        <v>3</v>
      </c>
      <c r="D59" s="171" t="s">
        <v>2154</v>
      </c>
      <c r="E59" s="160" t="s">
        <v>2154</v>
      </c>
      <c r="F59" s="160" t="s">
        <v>2154</v>
      </c>
      <c r="G59" s="160"/>
      <c r="H59" s="173"/>
      <c r="I59" s="182" t="str">
        <f>INDEX(TEMPLATE_NUMBER_POINT_FHD,B59,MATCH(TEMPLATE_SPHERE,TEMPLATE_SPHERE_LIST_FOR_NOTE,0))</f>
        <v>5</v>
      </c>
      <c r="J59" s="182"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82">
        <f>INDEX(TEMPLATE_NOTE_POINT_FHD,B59,MATCH(TEMPLATE_SPHERE,TEMPLATE_SPHERE_LIST_FOR_NOTE,0))</f>
        <v>0</v>
      </c>
      <c r="L59" s="176" t="str">
        <f t="shared" si="0"/>
        <v>5</v>
      </c>
      <c r="M59" s="176" t="str">
        <f t="shared" si="1"/>
        <v>Валовая прибыль (убытки) от продажи товаров и услуг по регулируемым видам деятельности в сфере холодного водоснабжения</v>
      </c>
      <c r="N59" s="176" t="str">
        <f t="shared" si="2"/>
        <v/>
      </c>
      <c r="O59" s="183"/>
      <c r="P59" s="183" t="s">
        <v>113</v>
      </c>
      <c r="Q59" s="183" t="s">
        <v>113</v>
      </c>
      <c r="R59" s="183" t="s">
        <v>113</v>
      </c>
      <c r="S59" s="183"/>
      <c r="T59" s="160"/>
      <c r="U59" s="160" t="s">
        <v>2167</v>
      </c>
      <c r="V59" s="160" t="s">
        <v>2168</v>
      </c>
      <c r="W59" s="160" t="s">
        <v>2169</v>
      </c>
      <c r="X59" s="160"/>
      <c r="Y59" s="189"/>
      <c r="Z59" s="158"/>
      <c r="AA59" s="178"/>
      <c r="AB59" s="158"/>
      <c r="AC59" s="158"/>
      <c r="AD59" s="158"/>
    </row>
    <row r="60" ht="81" customHeight="1" spans="1:30">
      <c r="A60" s="161"/>
      <c r="B60" s="165">
        <v>43</v>
      </c>
      <c r="C60" s="160" t="s">
        <v>2170</v>
      </c>
      <c r="D60" s="171" t="s">
        <v>2170</v>
      </c>
      <c r="E60" s="160" t="s">
        <v>2170</v>
      </c>
      <c r="F60" s="160" t="s">
        <v>2170</v>
      </c>
      <c r="G60" s="160"/>
      <c r="H60" s="173"/>
      <c r="I60" s="182" t="str">
        <f>INDEX(TEMPLATE_NUMBER_POINT_FHD,B60,MATCH(TEMPLATE_SPHERE,TEMPLATE_SPHERE_LIST_FOR_NOTE,0))</f>
        <v>6</v>
      </c>
      <c r="J60" s="182" t="str">
        <f>INDEX(TEMPLATE_DATA_POINT_FHD,B60,MATCH(TEMPLATE_SPHERE,TEMPLATE_SPHERE_LIST_FOR_NOTE,0))</f>
        <v>Годовая бухгалтерская (финансовая) отчетность, включая бухгалтерский баланс и приложения к нему</v>
      </c>
      <c r="K60" s="182"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176" t="str">
        <f t="shared" si="0"/>
        <v>6</v>
      </c>
      <c r="M60" s="176" t="str">
        <f t="shared" si="1"/>
        <v>Годовая бухгалтерская (финансовая) отчетность, включая бухгалтерский баланс и приложения к нему</v>
      </c>
      <c r="N60" s="176" t="str">
        <f t="shared" si="2"/>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83" t="s">
        <v>93</v>
      </c>
      <c r="P60" s="183" t="s">
        <v>93</v>
      </c>
      <c r="Q60" s="183" t="s">
        <v>93</v>
      </c>
      <c r="R60" s="183" t="s">
        <v>93</v>
      </c>
      <c r="S60" s="183"/>
      <c r="T60" s="160" t="s">
        <v>639</v>
      </c>
      <c r="U60" s="160" t="s">
        <v>639</v>
      </c>
      <c r="V60" s="160" t="s">
        <v>639</v>
      </c>
      <c r="W60" s="160" t="s">
        <v>639</v>
      </c>
      <c r="X60" s="160"/>
      <c r="Y60" s="189"/>
      <c r="Z60" s="158" t="s">
        <v>2171</v>
      </c>
      <c r="AA60" s="178" t="s">
        <v>2172</v>
      </c>
      <c r="AB60" s="158" t="s">
        <v>2173</v>
      </c>
      <c r="AC60" s="158" t="s">
        <v>2172</v>
      </c>
      <c r="AD60" s="158"/>
    </row>
    <row r="61" customHeight="1" spans="1:30">
      <c r="A61" s="161"/>
      <c r="B61" s="165">
        <v>44</v>
      </c>
      <c r="C61" s="160"/>
      <c r="D61" s="171" t="s">
        <v>2174</v>
      </c>
      <c r="E61" s="160"/>
      <c r="F61" s="160"/>
      <c r="G61" s="160"/>
      <c r="H61" s="173"/>
      <c r="I61" s="182" t="str">
        <f>INDEX(TEMPLATE_NUMBER_POINT_FHD,B61,MATCH(TEMPLATE_SPHERE,TEMPLATE_SPHERE_LIST_FOR_NOTE,0))</f>
        <v>7</v>
      </c>
      <c r="J61" s="182" t="str">
        <f>INDEX(TEMPLATE_DATA_POINT_FHD,B61,MATCH(TEMPLATE_SPHERE,TEMPLATE_SPHERE_LIST_FOR_NOTE,0))</f>
        <v>Объём поднятой воды</v>
      </c>
      <c r="K61" s="182">
        <f>INDEX(TEMPLATE_NOTE_POINT_FHD,B61,MATCH(TEMPLATE_SPHERE,TEMPLATE_SPHERE_LIST_FOR_NOTE,0))</f>
        <v>0</v>
      </c>
      <c r="L61" s="176" t="str">
        <f t="shared" si="0"/>
        <v>7</v>
      </c>
      <c r="M61" s="176" t="str">
        <f t="shared" si="1"/>
        <v>Объём поднятой воды</v>
      </c>
      <c r="N61" s="176" t="str">
        <f t="shared" si="2"/>
        <v/>
      </c>
      <c r="O61" s="183"/>
      <c r="P61" s="183" t="s">
        <v>94</v>
      </c>
      <c r="Q61" s="183"/>
      <c r="R61" s="183"/>
      <c r="S61" s="183"/>
      <c r="T61" s="160"/>
      <c r="U61" s="160" t="s">
        <v>2175</v>
      </c>
      <c r="V61" s="160"/>
      <c r="W61" s="160"/>
      <c r="X61" s="160"/>
      <c r="Y61" s="189"/>
      <c r="Z61" s="158"/>
      <c r="AA61" s="178"/>
      <c r="AB61" s="158"/>
      <c r="AC61" s="158"/>
      <c r="AD61" s="158"/>
    </row>
    <row r="62" customHeight="1" spans="1:30">
      <c r="A62" s="161"/>
      <c r="B62" s="165">
        <v>45</v>
      </c>
      <c r="C62" s="160"/>
      <c r="D62" s="171" t="s">
        <v>2176</v>
      </c>
      <c r="E62" s="160"/>
      <c r="F62" s="160"/>
      <c r="G62" s="160"/>
      <c r="H62" s="173"/>
      <c r="I62" s="182" t="str">
        <f>INDEX(TEMPLATE_NUMBER_POINT_FHD,B62,MATCH(TEMPLATE_SPHERE,TEMPLATE_SPHERE_LIST_FOR_NOTE,0))</f>
        <v>8</v>
      </c>
      <c r="J62" s="182" t="str">
        <f>INDEX(TEMPLATE_DATA_POINT_FHD,B62,MATCH(TEMPLATE_SPHERE,TEMPLATE_SPHERE_LIST_FOR_NOTE,0))</f>
        <v>Объём покупной воды</v>
      </c>
      <c r="K62" s="182">
        <f>INDEX(TEMPLATE_NOTE_POINT_FHD,B62,MATCH(TEMPLATE_SPHERE,TEMPLATE_SPHERE_LIST_FOR_NOTE,0))</f>
        <v>0</v>
      </c>
      <c r="L62" s="176" t="str">
        <f t="shared" si="0"/>
        <v>8</v>
      </c>
      <c r="M62" s="176" t="str">
        <f t="shared" si="1"/>
        <v>Объём покупной воды</v>
      </c>
      <c r="N62" s="176" t="str">
        <f t="shared" si="2"/>
        <v/>
      </c>
      <c r="O62" s="183"/>
      <c r="P62" s="183" t="s">
        <v>114</v>
      </c>
      <c r="Q62" s="183"/>
      <c r="R62" s="183"/>
      <c r="S62" s="183"/>
      <c r="T62" s="160"/>
      <c r="U62" s="160" t="s">
        <v>2177</v>
      </c>
      <c r="V62" s="160"/>
      <c r="W62" s="160"/>
      <c r="X62" s="160"/>
      <c r="Y62" s="189"/>
      <c r="Z62" s="158"/>
      <c r="AA62" s="178"/>
      <c r="AB62" s="158"/>
      <c r="AC62" s="158"/>
      <c r="AD62" s="158"/>
    </row>
    <row r="63" ht="18" customHeight="1" spans="1:30">
      <c r="A63" s="161"/>
      <c r="B63" s="165">
        <v>46</v>
      </c>
      <c r="C63" s="160"/>
      <c r="D63" s="171" t="s">
        <v>2178</v>
      </c>
      <c r="E63" s="160"/>
      <c r="F63" s="160"/>
      <c r="G63" s="160"/>
      <c r="H63" s="173"/>
      <c r="I63" s="182" t="str">
        <f>INDEX(TEMPLATE_NUMBER_POINT_FHD,B63,MATCH(TEMPLATE_SPHERE,TEMPLATE_SPHERE_LIST_FOR_NOTE,0))</f>
        <v>9</v>
      </c>
      <c r="J63" s="182" t="str">
        <f>INDEX(TEMPLATE_DATA_POINT_FHD,B63,MATCH(TEMPLATE_SPHERE,TEMPLATE_SPHERE_LIST_FOR_NOTE,0))</f>
        <v>Объём воды, пропущенной через очистные сооружения</v>
      </c>
      <c r="K63" s="182">
        <f>INDEX(TEMPLATE_NOTE_POINT_FHD,B63,MATCH(TEMPLATE_SPHERE,TEMPLATE_SPHERE_LIST_FOR_NOTE,0))</f>
        <v>0</v>
      </c>
      <c r="L63" s="176" t="str">
        <f t="shared" si="0"/>
        <v>9</v>
      </c>
      <c r="M63" s="176" t="str">
        <f t="shared" si="1"/>
        <v>Объём воды, пропущенной через очистные сооружения</v>
      </c>
      <c r="N63" s="176" t="str">
        <f t="shared" si="2"/>
        <v/>
      </c>
      <c r="O63" s="183"/>
      <c r="P63" s="183" t="s">
        <v>150</v>
      </c>
      <c r="Q63" s="183"/>
      <c r="R63" s="183"/>
      <c r="S63" s="183"/>
      <c r="T63" s="160"/>
      <c r="U63" s="160" t="s">
        <v>2179</v>
      </c>
      <c r="V63" s="160"/>
      <c r="W63" s="160"/>
      <c r="X63" s="160"/>
      <c r="Y63" s="189"/>
      <c r="Z63" s="158"/>
      <c r="AA63" s="178"/>
      <c r="AB63" s="158"/>
      <c r="AC63" s="158"/>
      <c r="AD63" s="158"/>
    </row>
    <row r="64" ht="18" customHeight="1" spans="1:30">
      <c r="A64" s="161"/>
      <c r="B64" s="165">
        <v>47</v>
      </c>
      <c r="C64" s="160"/>
      <c r="D64" s="171" t="s">
        <v>2180</v>
      </c>
      <c r="E64" s="160"/>
      <c r="F64" s="160"/>
      <c r="G64" s="160"/>
      <c r="H64" s="173"/>
      <c r="I64" s="182" t="str">
        <f>INDEX(TEMPLATE_NUMBER_POINT_FHD,B64,MATCH(TEMPLATE_SPHERE,TEMPLATE_SPHERE_LIST_FOR_NOTE,0))</f>
        <v>10</v>
      </c>
      <c r="J64" s="182" t="str">
        <f>INDEX(TEMPLATE_DATA_POINT_FHD,B64,MATCH(TEMPLATE_SPHERE,TEMPLATE_SPHERE_LIST_FOR_NOTE,0))</f>
        <v>Объём отпущенной потребителям воды, в том числе:</v>
      </c>
      <c r="K64" s="182" t="str">
        <f>INDEX(TEMPLATE_NOTE_POINT_FHD,B64,MATCH(TEMPLATE_SPHERE,TEMPLATE_SPHERE_LIST_FOR_NOTE,0))</f>
        <v>Указывается общий объем отпущенной потребителям воды.</v>
      </c>
      <c r="L64" s="176" t="str">
        <f t="shared" si="0"/>
        <v>10</v>
      </c>
      <c r="M64" s="176" t="str">
        <f t="shared" si="1"/>
        <v>Объём отпущенной потребителям воды, в том числе:</v>
      </c>
      <c r="N64" s="176" t="str">
        <f t="shared" si="2"/>
        <v>Указывается общий объем отпущенной потребителям воды.</v>
      </c>
      <c r="O64" s="183"/>
      <c r="P64" s="183" t="s">
        <v>151</v>
      </c>
      <c r="Q64" s="183"/>
      <c r="R64" s="183"/>
      <c r="S64" s="183"/>
      <c r="T64" s="160"/>
      <c r="U64" s="160" t="s">
        <v>2181</v>
      </c>
      <c r="V64" s="160"/>
      <c r="W64" s="160"/>
      <c r="X64" s="160"/>
      <c r="Y64" s="189"/>
      <c r="Z64" s="158"/>
      <c r="AA64" s="178" t="s">
        <v>2182</v>
      </c>
      <c r="AB64" s="158"/>
      <c r="AC64" s="158"/>
      <c r="AD64" s="158"/>
    </row>
    <row r="65" ht="18" customHeight="1" spans="1:30">
      <c r="A65" s="161"/>
      <c r="B65" s="165">
        <v>48</v>
      </c>
      <c r="C65" s="160"/>
      <c r="D65" s="171"/>
      <c r="E65" s="160"/>
      <c r="F65" s="160"/>
      <c r="G65" s="160"/>
      <c r="H65" s="173"/>
      <c r="I65" s="182" t="str">
        <f>INDEX(TEMPLATE_NUMBER_POINT_FHD,B65,MATCH(TEMPLATE_SPHERE,TEMPLATE_SPHERE_LIST_FOR_NOTE,0))</f>
        <v>10.1</v>
      </c>
      <c r="J65" s="182" t="str">
        <f>INDEX(TEMPLATE_DATA_POINT_FHD,B65,MATCH(TEMPLATE_SPHERE,TEMPLATE_SPHERE_LIST_FOR_NOTE,0))</f>
        <v>Объём отпущенной потребителям воды, определенный по приборам учета</v>
      </c>
      <c r="K65" s="182">
        <f>INDEX(TEMPLATE_NOTE_POINT_FHD,B65,MATCH(TEMPLATE_SPHERE,TEMPLATE_SPHERE_LIST_FOR_NOTE,0))</f>
        <v>0</v>
      </c>
      <c r="L65" s="176" t="str">
        <f t="shared" si="0"/>
        <v>10.1</v>
      </c>
      <c r="M65" s="176" t="str">
        <f t="shared" si="1"/>
        <v>Объём отпущенной потребителям воды, определенный по приборам учета</v>
      </c>
      <c r="N65" s="176" t="str">
        <f t="shared" si="2"/>
        <v/>
      </c>
      <c r="O65" s="183"/>
      <c r="P65" s="183" t="s">
        <v>2095</v>
      </c>
      <c r="Q65" s="183"/>
      <c r="R65" s="183"/>
      <c r="S65" s="183"/>
      <c r="T65" s="160"/>
      <c r="U65" s="160" t="s">
        <v>2183</v>
      </c>
      <c r="V65" s="160"/>
      <c r="W65" s="160"/>
      <c r="X65" s="160"/>
      <c r="Y65" s="189"/>
      <c r="Z65" s="158"/>
      <c r="AA65" s="178"/>
      <c r="AB65" s="158"/>
      <c r="AC65" s="158"/>
      <c r="AD65" s="158"/>
    </row>
    <row r="66" ht="18" customHeight="1" spans="1:30">
      <c r="A66" s="161"/>
      <c r="B66" s="165">
        <v>49</v>
      </c>
      <c r="C66" s="160"/>
      <c r="D66" s="171"/>
      <c r="E66" s="160"/>
      <c r="F66" s="160"/>
      <c r="G66" s="160"/>
      <c r="H66" s="173"/>
      <c r="I66" s="182" t="str">
        <f>INDEX(TEMPLATE_NUMBER_POINT_FHD,B66,MATCH(TEMPLATE_SPHERE,TEMPLATE_SPHERE_LIST_FOR_NOTE,0))</f>
        <v>10.2</v>
      </c>
      <c r="J66" s="182" t="str">
        <f>INDEX(TEMPLATE_DATA_POINT_FHD,B66,MATCH(TEMPLATE_SPHERE,TEMPLATE_SPHERE_LIST_FOR_NOTE,0))</f>
        <v>Объём отпущенной потребителям воды, определенный расчетным способом</v>
      </c>
      <c r="K66" s="182">
        <f>INDEX(TEMPLATE_NOTE_POINT_FHD,B66,MATCH(TEMPLATE_SPHERE,TEMPLATE_SPHERE_LIST_FOR_NOTE,0))</f>
        <v>0</v>
      </c>
      <c r="L66" s="176" t="str">
        <f t="shared" si="0"/>
        <v>10.2</v>
      </c>
      <c r="M66" s="176" t="str">
        <f t="shared" si="1"/>
        <v>Объём отпущенной потребителям воды, определенный расчетным способом</v>
      </c>
      <c r="N66" s="176" t="str">
        <f t="shared" si="2"/>
        <v/>
      </c>
      <c r="O66" s="183"/>
      <c r="P66" s="183" t="s">
        <v>2099</v>
      </c>
      <c r="Q66" s="183"/>
      <c r="R66" s="183"/>
      <c r="S66" s="183"/>
      <c r="T66" s="160"/>
      <c r="U66" s="160" t="s">
        <v>2184</v>
      </c>
      <c r="V66" s="160"/>
      <c r="W66" s="160"/>
      <c r="X66" s="160"/>
      <c r="Y66" s="189"/>
      <c r="Z66" s="158"/>
      <c r="AA66" s="178"/>
      <c r="AB66" s="158"/>
      <c r="AC66" s="158"/>
      <c r="AD66" s="158"/>
    </row>
    <row r="67" ht="27" customHeight="1" spans="1:30">
      <c r="A67" s="161"/>
      <c r="B67" s="165">
        <v>50</v>
      </c>
      <c r="C67" s="160"/>
      <c r="D67" s="171"/>
      <c r="E67" s="160"/>
      <c r="F67" s="160"/>
      <c r="G67" s="160"/>
      <c r="H67" s="173"/>
      <c r="I67" s="182" t="str">
        <f>INDEX(TEMPLATE_NUMBER_POINT_FHD,B67,MATCH(TEMPLATE_SPHERE,TEMPLATE_SPHERE_LIST_FOR_NOTE,0))</f>
        <v>10.2.1</v>
      </c>
      <c r="J67" s="182" t="str">
        <f>INDEX(TEMPLATE_DATA_POINT_FHD,B67,MATCH(TEMPLATE_SPHERE,TEMPLATE_SPHERE_LIST_FOR_NOTE,0))</f>
        <v>Объём отпущенной потребителям воды, определенный по нормативам потребления коммунальных услуг</v>
      </c>
      <c r="K67" s="182">
        <f>INDEX(TEMPLATE_NOTE_POINT_FHD,B67,MATCH(TEMPLATE_SPHERE,TEMPLATE_SPHERE_LIST_FOR_NOTE,0))</f>
        <v>0</v>
      </c>
      <c r="L67" s="176" t="str">
        <f t="shared" si="0"/>
        <v>10.2.1</v>
      </c>
      <c r="M67" s="176" t="str">
        <f t="shared" si="1"/>
        <v>Объём отпущенной потребителям воды, определенный по нормативам потребления коммунальных услуг</v>
      </c>
      <c r="N67" s="176" t="str">
        <f t="shared" si="2"/>
        <v/>
      </c>
      <c r="O67" s="183"/>
      <c r="P67" s="183" t="s">
        <v>2185</v>
      </c>
      <c r="Q67" s="183"/>
      <c r="R67" s="183"/>
      <c r="S67" s="183"/>
      <c r="T67" s="160"/>
      <c r="U67" s="160" t="s">
        <v>2186</v>
      </c>
      <c r="V67" s="160"/>
      <c r="W67" s="160"/>
      <c r="X67" s="160"/>
      <c r="Y67" s="189"/>
      <c r="Z67" s="158"/>
      <c r="AA67" s="178"/>
      <c r="AB67" s="158"/>
      <c r="AC67" s="158"/>
      <c r="AD67" s="158"/>
    </row>
    <row r="68" ht="27" customHeight="1" spans="1:30">
      <c r="A68" s="161"/>
      <c r="B68" s="165">
        <v>51</v>
      </c>
      <c r="C68" s="160"/>
      <c r="D68" s="171"/>
      <c r="E68" s="160"/>
      <c r="F68" s="160"/>
      <c r="G68" s="160"/>
      <c r="H68" s="173"/>
      <c r="I68" s="182" t="str">
        <f>INDEX(TEMPLATE_NUMBER_POINT_FHD,B68,MATCH(TEMPLATE_SPHERE,TEMPLATE_SPHERE_LIST_FOR_NOTE,0))</f>
        <v>10.2.2</v>
      </c>
      <c r="J68" s="182"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82">
        <f>INDEX(TEMPLATE_NOTE_POINT_FHD,B68,MATCH(TEMPLATE_SPHERE,TEMPLATE_SPHERE_LIST_FOR_NOTE,0))</f>
        <v>0</v>
      </c>
      <c r="L68" s="176" t="str">
        <f t="shared" si="0"/>
        <v>10.2.2</v>
      </c>
      <c r="M68" s="176" t="str">
        <f t="shared" si="1"/>
        <v>Объём отпущенной потребителям воды, определенный по нормативам потребления коммунальных ресурсов </v>
      </c>
      <c r="N68" s="176" t="str">
        <f t="shared" si="2"/>
        <v/>
      </c>
      <c r="O68" s="183"/>
      <c r="P68" s="183" t="s">
        <v>2187</v>
      </c>
      <c r="Q68" s="183"/>
      <c r="R68" s="183"/>
      <c r="S68" s="183"/>
      <c r="T68" s="160"/>
      <c r="U68" s="160" t="s">
        <v>2188</v>
      </c>
      <c r="V68" s="160"/>
      <c r="W68" s="160"/>
      <c r="X68" s="160"/>
      <c r="Y68" s="189"/>
      <c r="Z68" s="158"/>
      <c r="AA68" s="178"/>
      <c r="AB68" s="158"/>
      <c r="AC68" s="158"/>
      <c r="AD68" s="158"/>
    </row>
    <row r="69" customHeight="1" spans="1:30">
      <c r="A69" s="161"/>
      <c r="B69" s="165">
        <v>52</v>
      </c>
      <c r="C69" s="160"/>
      <c r="D69" s="171" t="s">
        <v>2189</v>
      </c>
      <c r="E69" s="160"/>
      <c r="F69" s="160"/>
      <c r="G69" s="160"/>
      <c r="H69" s="173"/>
      <c r="I69" s="182" t="str">
        <f>INDEX(TEMPLATE_NUMBER_POINT_FHD,B69,MATCH(TEMPLATE_SPHERE,TEMPLATE_SPHERE_LIST_FOR_NOTE,0))</f>
        <v>11</v>
      </c>
      <c r="J69" s="182" t="str">
        <f>INDEX(TEMPLATE_DATA_POINT_FHD,B69,MATCH(TEMPLATE_SPHERE,TEMPLATE_SPHERE_LIST_FOR_NOTE,0))</f>
        <v>Потери воды в сетях</v>
      </c>
      <c r="K69" s="182">
        <f>INDEX(TEMPLATE_NOTE_POINT_FHD,B69,MATCH(TEMPLATE_SPHERE,TEMPLATE_SPHERE_LIST_FOR_NOTE,0))</f>
        <v>0</v>
      </c>
      <c r="L69" s="176" t="str">
        <f t="shared" si="0"/>
        <v>11</v>
      </c>
      <c r="M69" s="176" t="str">
        <f t="shared" si="1"/>
        <v>Потери воды в сетях</v>
      </c>
      <c r="N69" s="176" t="str">
        <f t="shared" si="2"/>
        <v/>
      </c>
      <c r="O69" s="183"/>
      <c r="P69" s="183" t="s">
        <v>152</v>
      </c>
      <c r="Q69" s="183"/>
      <c r="R69" s="183"/>
      <c r="S69" s="183"/>
      <c r="T69" s="160"/>
      <c r="U69" s="160" t="s">
        <v>2190</v>
      </c>
      <c r="V69" s="160"/>
      <c r="W69" s="160"/>
      <c r="X69" s="160"/>
      <c r="Y69" s="189"/>
      <c r="Z69" s="158"/>
      <c r="AA69" s="178"/>
      <c r="AB69" s="158"/>
      <c r="AC69" s="158"/>
      <c r="AD69" s="158"/>
    </row>
    <row r="70" ht="27" customHeight="1" spans="1:30">
      <c r="A70" s="161"/>
      <c r="B70" s="165">
        <v>53</v>
      </c>
      <c r="C70" s="160"/>
      <c r="D70" s="171"/>
      <c r="E70" s="160" t="s">
        <v>2174</v>
      </c>
      <c r="F70" s="160"/>
      <c r="G70" s="160"/>
      <c r="H70" s="173"/>
      <c r="I70" s="182">
        <f>INDEX(TEMPLATE_NUMBER_POINT_FHD,B70,MATCH(TEMPLATE_SPHERE,TEMPLATE_SPHERE_LIST_FOR_NOTE,0))</f>
        <v>0</v>
      </c>
      <c r="J70" s="182">
        <f>INDEX(TEMPLATE_DATA_POINT_FHD,B70,MATCH(TEMPLATE_SPHERE,TEMPLATE_SPHERE_LIST_FOR_NOTE,0))</f>
        <v>0</v>
      </c>
      <c r="K70" s="182">
        <f>INDEX(TEMPLATE_NOTE_POINT_FHD,B70,MATCH(TEMPLATE_SPHERE,TEMPLATE_SPHERE_LIST_FOR_NOTE,0))</f>
        <v>0</v>
      </c>
      <c r="L70" s="176" t="str">
        <f t="shared" si="0"/>
        <v/>
      </c>
      <c r="M70" s="176" t="str">
        <f t="shared" si="1"/>
        <v/>
      </c>
      <c r="N70" s="176" t="str">
        <f t="shared" si="2"/>
        <v/>
      </c>
      <c r="O70" s="183"/>
      <c r="P70" s="183"/>
      <c r="Q70" s="183" t="s">
        <v>94</v>
      </c>
      <c r="R70" s="183"/>
      <c r="S70" s="183"/>
      <c r="T70" s="160"/>
      <c r="U70" s="160"/>
      <c r="V70" s="160" t="s">
        <v>2191</v>
      </c>
      <c r="W70" s="160"/>
      <c r="X70" s="160"/>
      <c r="Y70" s="189"/>
      <c r="Z70" s="158"/>
      <c r="AA70" s="178"/>
      <c r="AB70" s="158"/>
      <c r="AC70" s="158"/>
      <c r="AD70" s="158"/>
    </row>
    <row r="71" ht="36" customHeight="1" spans="1:30">
      <c r="A71" s="161"/>
      <c r="B71" s="165">
        <v>54</v>
      </c>
      <c r="C71" s="160"/>
      <c r="D71" s="171"/>
      <c r="E71" s="160" t="s">
        <v>2176</v>
      </c>
      <c r="F71" s="160"/>
      <c r="G71" s="160"/>
      <c r="H71" s="173"/>
      <c r="I71" s="182">
        <f>INDEX(TEMPLATE_NUMBER_POINT_FHD,B71,MATCH(TEMPLATE_SPHERE,TEMPLATE_SPHERE_LIST_FOR_NOTE,0))</f>
        <v>0</v>
      </c>
      <c r="J71" s="182">
        <f>INDEX(TEMPLATE_DATA_POINT_FHD,B71,MATCH(TEMPLATE_SPHERE,TEMPLATE_SPHERE_LIST_FOR_NOTE,0))</f>
        <v>0</v>
      </c>
      <c r="K71" s="182">
        <f>INDEX(TEMPLATE_NOTE_POINT_FHD,B71,MATCH(TEMPLATE_SPHERE,TEMPLATE_SPHERE_LIST_FOR_NOTE,0))</f>
        <v>0</v>
      </c>
      <c r="L71" s="176" t="str">
        <f t="shared" si="0"/>
        <v/>
      </c>
      <c r="M71" s="176" t="str">
        <f t="shared" si="1"/>
        <v/>
      </c>
      <c r="N71" s="176" t="str">
        <f t="shared" si="2"/>
        <v/>
      </c>
      <c r="O71" s="183"/>
      <c r="P71" s="183"/>
      <c r="Q71" s="183" t="s">
        <v>114</v>
      </c>
      <c r="R71" s="183"/>
      <c r="S71" s="183"/>
      <c r="T71" s="160"/>
      <c r="U71" s="160"/>
      <c r="V71" s="160" t="s">
        <v>2192</v>
      </c>
      <c r="W71" s="160"/>
      <c r="X71" s="160"/>
      <c r="Y71" s="189"/>
      <c r="Z71" s="158"/>
      <c r="AA71" s="178"/>
      <c r="AB71" s="158"/>
      <c r="AC71" s="158"/>
      <c r="AD71" s="158"/>
    </row>
    <row r="72" ht="27" customHeight="1" spans="1:30">
      <c r="A72" s="161"/>
      <c r="B72" s="165">
        <v>55</v>
      </c>
      <c r="C72" s="160"/>
      <c r="D72" s="171"/>
      <c r="E72" s="160" t="s">
        <v>2178</v>
      </c>
      <c r="F72" s="160"/>
      <c r="G72" s="160"/>
      <c r="H72" s="173"/>
      <c r="I72" s="182">
        <f>INDEX(TEMPLATE_NUMBER_POINT_FHD,B72,MATCH(TEMPLATE_SPHERE,TEMPLATE_SPHERE_LIST_FOR_NOTE,0))</f>
        <v>0</v>
      </c>
      <c r="J72" s="182">
        <f>INDEX(TEMPLATE_DATA_POINT_FHD,B72,MATCH(TEMPLATE_SPHERE,TEMPLATE_SPHERE_LIST_FOR_NOTE,0))</f>
        <v>0</v>
      </c>
      <c r="K72" s="182">
        <f>INDEX(TEMPLATE_NOTE_POINT_FHD,B72,MATCH(TEMPLATE_SPHERE,TEMPLATE_SPHERE_LIST_FOR_NOTE,0))</f>
        <v>0</v>
      </c>
      <c r="L72" s="176" t="str">
        <f t="shared" si="0"/>
        <v/>
      </c>
      <c r="M72" s="176" t="str">
        <f t="shared" si="1"/>
        <v/>
      </c>
      <c r="N72" s="176" t="str">
        <f t="shared" si="2"/>
        <v/>
      </c>
      <c r="O72" s="183"/>
      <c r="P72" s="183"/>
      <c r="Q72" s="183" t="s">
        <v>150</v>
      </c>
      <c r="R72" s="183"/>
      <c r="S72" s="183"/>
      <c r="T72" s="160"/>
      <c r="U72" s="160"/>
      <c r="V72" s="160" t="s">
        <v>2193</v>
      </c>
      <c r="W72" s="160"/>
      <c r="X72" s="160"/>
      <c r="Y72" s="189"/>
      <c r="Z72" s="158"/>
      <c r="AA72" s="178"/>
      <c r="AB72" s="158"/>
      <c r="AC72" s="158"/>
      <c r="AD72" s="158"/>
    </row>
    <row r="73" ht="36" customHeight="1" spans="1:30">
      <c r="A73" s="161"/>
      <c r="B73" s="165">
        <v>56</v>
      </c>
      <c r="C73" s="160"/>
      <c r="D73" s="171"/>
      <c r="E73" s="160" t="s">
        <v>2180</v>
      </c>
      <c r="F73" s="160"/>
      <c r="G73" s="160"/>
      <c r="H73" s="173"/>
      <c r="I73" s="182">
        <f>INDEX(TEMPLATE_NUMBER_POINT_FHD,B73,MATCH(TEMPLATE_SPHERE,TEMPLATE_SPHERE_LIST_FOR_NOTE,0))</f>
        <v>0</v>
      </c>
      <c r="J73" s="182">
        <f>INDEX(TEMPLATE_DATA_POINT_FHD,B73,MATCH(TEMPLATE_SPHERE,TEMPLATE_SPHERE_LIST_FOR_NOTE,0))</f>
        <v>0</v>
      </c>
      <c r="K73" s="182">
        <f>INDEX(TEMPLATE_NOTE_POINT_FHD,B73,MATCH(TEMPLATE_SPHERE,TEMPLATE_SPHERE_LIST_FOR_NOTE,0))</f>
        <v>0</v>
      </c>
      <c r="L73" s="176" t="str">
        <f t="shared" si="0"/>
        <v/>
      </c>
      <c r="M73" s="176" t="str">
        <f t="shared" si="1"/>
        <v/>
      </c>
      <c r="N73" s="176" t="str">
        <f t="shared" si="2"/>
        <v/>
      </c>
      <c r="O73" s="183"/>
      <c r="P73" s="183"/>
      <c r="Q73" s="183" t="s">
        <v>151</v>
      </c>
      <c r="R73" s="183"/>
      <c r="S73" s="183"/>
      <c r="T73" s="160"/>
      <c r="U73" s="160"/>
      <c r="V73" s="160" t="s">
        <v>2194</v>
      </c>
      <c r="W73" s="160"/>
      <c r="X73" s="160"/>
      <c r="Y73" s="189"/>
      <c r="Z73" s="158"/>
      <c r="AA73" s="178"/>
      <c r="AB73" s="158"/>
      <c r="AC73" s="158"/>
      <c r="AD73" s="158"/>
    </row>
    <row r="74" ht="18" customHeight="1" spans="1:30">
      <c r="A74" s="161"/>
      <c r="B74" s="165">
        <v>57</v>
      </c>
      <c r="C74" s="160"/>
      <c r="D74" s="171"/>
      <c r="E74" s="160" t="s">
        <v>2189</v>
      </c>
      <c r="F74" s="160"/>
      <c r="G74" s="160"/>
      <c r="H74" s="173"/>
      <c r="I74" s="182">
        <f>INDEX(TEMPLATE_NUMBER_POINT_FHD,B74,MATCH(TEMPLATE_SPHERE,TEMPLATE_SPHERE_LIST_FOR_NOTE,0))</f>
        <v>0</v>
      </c>
      <c r="J74" s="182">
        <f>INDEX(TEMPLATE_DATA_POINT_FHD,B74,MATCH(TEMPLATE_SPHERE,TEMPLATE_SPHERE_LIST_FOR_NOTE,0))</f>
        <v>0</v>
      </c>
      <c r="K74" s="182">
        <f>INDEX(TEMPLATE_NOTE_POINT_FHD,B74,MATCH(TEMPLATE_SPHERE,TEMPLATE_SPHERE_LIST_FOR_NOTE,0))</f>
        <v>0</v>
      </c>
      <c r="L74" s="176" t="str">
        <f t="shared" si="0"/>
        <v/>
      </c>
      <c r="M74" s="176" t="str">
        <f t="shared" si="1"/>
        <v/>
      </c>
      <c r="N74" s="176" t="str">
        <f t="shared" si="2"/>
        <v/>
      </c>
      <c r="O74" s="183"/>
      <c r="P74" s="183"/>
      <c r="Q74" s="183" t="s">
        <v>152</v>
      </c>
      <c r="R74" s="183"/>
      <c r="S74" s="183"/>
      <c r="T74" s="160"/>
      <c r="U74" s="160"/>
      <c r="V74" s="160" t="s">
        <v>2195</v>
      </c>
      <c r="W74" s="160"/>
      <c r="X74" s="160"/>
      <c r="Y74" s="189"/>
      <c r="Z74" s="158"/>
      <c r="AA74" s="178"/>
      <c r="AB74" s="158"/>
      <c r="AC74" s="158"/>
      <c r="AD74" s="158"/>
    </row>
    <row r="75" ht="18" customHeight="1" spans="1:30">
      <c r="A75" s="161"/>
      <c r="B75" s="165">
        <v>58</v>
      </c>
      <c r="C75" s="160"/>
      <c r="D75" s="171"/>
      <c r="E75" s="160"/>
      <c r="F75" s="160" t="s">
        <v>2174</v>
      </c>
      <c r="G75" s="160"/>
      <c r="H75" s="173"/>
      <c r="I75" s="182">
        <f>INDEX(TEMPLATE_NUMBER_POINT_FHD,B75,MATCH(TEMPLATE_SPHERE,TEMPLATE_SPHERE_LIST_FOR_NOTE,0))</f>
        <v>0</v>
      </c>
      <c r="J75" s="182">
        <f>INDEX(TEMPLATE_DATA_POINT_FHD,B75,MATCH(TEMPLATE_SPHERE,TEMPLATE_SPHERE_LIST_FOR_NOTE,0))</f>
        <v>0</v>
      </c>
      <c r="K75" s="182">
        <f>INDEX(TEMPLATE_NOTE_POINT_FHD,B75,MATCH(TEMPLATE_SPHERE,TEMPLATE_SPHERE_LIST_FOR_NOTE,0))</f>
        <v>0</v>
      </c>
      <c r="L75" s="176" t="str">
        <f t="shared" si="0"/>
        <v/>
      </c>
      <c r="M75" s="176" t="str">
        <f t="shared" si="1"/>
        <v/>
      </c>
      <c r="N75" s="176" t="str">
        <f t="shared" si="2"/>
        <v/>
      </c>
      <c r="O75" s="183"/>
      <c r="P75" s="183"/>
      <c r="Q75" s="183"/>
      <c r="R75" s="183" t="s">
        <v>94</v>
      </c>
      <c r="S75" s="183"/>
      <c r="T75" s="160"/>
      <c r="U75" s="160"/>
      <c r="V75" s="160"/>
      <c r="W75" s="160" t="s">
        <v>2196</v>
      </c>
      <c r="X75" s="160"/>
      <c r="Y75" s="189"/>
      <c r="Z75" s="158"/>
      <c r="AA75" s="178"/>
      <c r="AB75" s="158"/>
      <c r="AC75" s="158"/>
      <c r="AD75" s="158"/>
    </row>
    <row r="76" ht="36" customHeight="1" spans="1:30">
      <c r="A76" s="161"/>
      <c r="B76" s="165">
        <v>59</v>
      </c>
      <c r="C76" s="160"/>
      <c r="D76" s="171"/>
      <c r="E76" s="160"/>
      <c r="F76" s="160" t="s">
        <v>2176</v>
      </c>
      <c r="G76" s="160"/>
      <c r="H76" s="173"/>
      <c r="I76" s="182">
        <f>INDEX(TEMPLATE_NUMBER_POINT_FHD,B76,MATCH(TEMPLATE_SPHERE,TEMPLATE_SPHERE_LIST_FOR_NOTE,0))</f>
        <v>0</v>
      </c>
      <c r="J76" s="182">
        <f>INDEX(TEMPLATE_DATA_POINT_FHD,B76,MATCH(TEMPLATE_SPHERE,TEMPLATE_SPHERE_LIST_FOR_NOTE,0))</f>
        <v>0</v>
      </c>
      <c r="K76" s="182">
        <f>INDEX(TEMPLATE_NOTE_POINT_FHD,B76,MATCH(TEMPLATE_SPHERE,TEMPLATE_SPHERE_LIST_FOR_NOTE,0))</f>
        <v>0</v>
      </c>
      <c r="L76" s="176" t="str">
        <f t="shared" si="0"/>
        <v/>
      </c>
      <c r="M76" s="176" t="str">
        <f t="shared" si="1"/>
        <v/>
      </c>
      <c r="N76" s="176" t="str">
        <f t="shared" si="2"/>
        <v/>
      </c>
      <c r="O76" s="183"/>
      <c r="P76" s="183"/>
      <c r="Q76" s="183"/>
      <c r="R76" s="183" t="s">
        <v>114</v>
      </c>
      <c r="S76" s="183"/>
      <c r="T76" s="160"/>
      <c r="U76" s="160"/>
      <c r="V76" s="160"/>
      <c r="W76" s="160" t="s">
        <v>2197</v>
      </c>
      <c r="X76" s="160"/>
      <c r="Y76" s="189"/>
      <c r="Z76" s="158"/>
      <c r="AA76" s="178"/>
      <c r="AB76" s="158"/>
      <c r="AC76" s="158"/>
      <c r="AD76" s="158"/>
    </row>
    <row r="77" ht="18" customHeight="1" spans="1:30">
      <c r="A77" s="161"/>
      <c r="B77" s="165">
        <v>60</v>
      </c>
      <c r="C77" s="160"/>
      <c r="D77" s="171"/>
      <c r="E77" s="160"/>
      <c r="F77" s="160" t="s">
        <v>2178</v>
      </c>
      <c r="G77" s="160"/>
      <c r="H77" s="173"/>
      <c r="I77" s="182">
        <f>INDEX(TEMPLATE_NUMBER_POINT_FHD,B77,MATCH(TEMPLATE_SPHERE,TEMPLATE_SPHERE_LIST_FOR_NOTE,0))</f>
        <v>0</v>
      </c>
      <c r="J77" s="182">
        <f>INDEX(TEMPLATE_DATA_POINT_FHD,B77,MATCH(TEMPLATE_SPHERE,TEMPLATE_SPHERE_LIST_FOR_NOTE,0))</f>
        <v>0</v>
      </c>
      <c r="K77" s="182">
        <f>INDEX(TEMPLATE_NOTE_POINT_FHD,B77,MATCH(TEMPLATE_SPHERE,TEMPLATE_SPHERE_LIST_FOR_NOTE,0))</f>
        <v>0</v>
      </c>
      <c r="L77" s="176" t="str">
        <f t="shared" si="0"/>
        <v/>
      </c>
      <c r="M77" s="176" t="str">
        <f t="shared" si="1"/>
        <v/>
      </c>
      <c r="N77" s="176" t="str">
        <f t="shared" si="2"/>
        <v/>
      </c>
      <c r="O77" s="183"/>
      <c r="P77" s="183"/>
      <c r="Q77" s="183"/>
      <c r="R77" s="183" t="s">
        <v>150</v>
      </c>
      <c r="S77" s="183"/>
      <c r="T77" s="160"/>
      <c r="U77" s="160"/>
      <c r="V77" s="160"/>
      <c r="W77" s="160" t="s">
        <v>2198</v>
      </c>
      <c r="X77" s="160"/>
      <c r="Y77" s="189"/>
      <c r="Z77" s="158"/>
      <c r="AA77" s="178"/>
      <c r="AB77" s="158"/>
      <c r="AC77" s="158"/>
      <c r="AD77" s="158"/>
    </row>
    <row r="78" ht="72" customHeight="1" spans="1:30">
      <c r="A78" s="161"/>
      <c r="B78" s="165">
        <v>61</v>
      </c>
      <c r="C78" s="160" t="s">
        <v>2174</v>
      </c>
      <c r="D78" s="171"/>
      <c r="E78" s="160"/>
      <c r="F78" s="160"/>
      <c r="G78" s="160"/>
      <c r="H78" s="173"/>
      <c r="I78" s="182">
        <f>INDEX(TEMPLATE_NUMBER_POINT_FHD,B78,MATCH(TEMPLATE_SPHERE,TEMPLATE_SPHERE_LIST_FOR_NOTE,0))</f>
        <v>0</v>
      </c>
      <c r="J78" s="182">
        <f>INDEX(TEMPLATE_DATA_POINT_FHD,B78,MATCH(TEMPLATE_SPHERE,TEMPLATE_SPHERE_LIST_FOR_NOTE,0))</f>
        <v>0</v>
      </c>
      <c r="K78" s="182">
        <f>INDEX(TEMPLATE_NOTE_POINT_FHD,B78,MATCH(TEMPLATE_SPHERE,TEMPLATE_SPHERE_LIST_FOR_NOTE,0))</f>
        <v>0</v>
      </c>
      <c r="L78" s="176" t="str">
        <f t="shared" si="0"/>
        <v/>
      </c>
      <c r="M78" s="176" t="str">
        <f t="shared" si="1"/>
        <v/>
      </c>
      <c r="N78" s="176" t="str">
        <f t="shared" si="2"/>
        <v/>
      </c>
      <c r="O78" s="183" t="s">
        <v>94</v>
      </c>
      <c r="P78" s="183"/>
      <c r="Q78" s="183"/>
      <c r="R78" s="183"/>
      <c r="S78" s="183"/>
      <c r="T78" s="160" t="s">
        <v>644</v>
      </c>
      <c r="U78" s="160"/>
      <c r="V78" s="160"/>
      <c r="W78" s="160"/>
      <c r="X78" s="160"/>
      <c r="Y78" s="189"/>
      <c r="Z78" s="158" t="s">
        <v>2199</v>
      </c>
      <c r="AA78" s="178"/>
      <c r="AB78" s="158"/>
      <c r="AC78" s="158"/>
      <c r="AD78" s="158"/>
    </row>
    <row r="79" ht="36" customHeight="1" spans="1:30">
      <c r="A79" s="161"/>
      <c r="B79" s="165">
        <v>62</v>
      </c>
      <c r="C79" s="160" t="s">
        <v>2176</v>
      </c>
      <c r="D79" s="171"/>
      <c r="E79" s="160"/>
      <c r="F79" s="160"/>
      <c r="G79" s="160"/>
      <c r="H79" s="173"/>
      <c r="I79" s="182">
        <f>INDEX(TEMPLATE_NUMBER_POINT_FHD,B79,MATCH(TEMPLATE_SPHERE,TEMPLATE_SPHERE_LIST_FOR_NOTE,0))</f>
        <v>0</v>
      </c>
      <c r="J79" s="182">
        <f>INDEX(TEMPLATE_DATA_POINT_FHD,B79,MATCH(TEMPLATE_SPHERE,TEMPLATE_SPHERE_LIST_FOR_NOTE,0))</f>
        <v>0</v>
      </c>
      <c r="K79" s="182">
        <f>INDEX(TEMPLATE_NOTE_POINT_FHD,B79,MATCH(TEMPLATE_SPHERE,TEMPLATE_SPHERE_LIST_FOR_NOTE,0))</f>
        <v>0</v>
      </c>
      <c r="L79" s="176" t="str">
        <f t="shared" si="0"/>
        <v/>
      </c>
      <c r="M79" s="176" t="str">
        <f t="shared" si="1"/>
        <v/>
      </c>
      <c r="N79" s="176" t="str">
        <f t="shared" si="2"/>
        <v/>
      </c>
      <c r="O79" s="183" t="s">
        <v>114</v>
      </c>
      <c r="P79" s="183"/>
      <c r="Q79" s="183"/>
      <c r="R79" s="183"/>
      <c r="S79" s="183"/>
      <c r="T79" s="160" t="s">
        <v>2200</v>
      </c>
      <c r="U79" s="160"/>
      <c r="V79" s="160"/>
      <c r="W79" s="160"/>
      <c r="X79" s="160"/>
      <c r="Y79" s="189"/>
      <c r="Z79" s="158" t="s">
        <v>2201</v>
      </c>
      <c r="AA79" s="178"/>
      <c r="AB79" s="158"/>
      <c r="AC79" s="158"/>
      <c r="AD79" s="158"/>
    </row>
    <row r="80" ht="45" customHeight="1" spans="1:30">
      <c r="A80" s="161"/>
      <c r="B80" s="165">
        <v>63</v>
      </c>
      <c r="C80" s="160" t="s">
        <v>2178</v>
      </c>
      <c r="D80" s="171"/>
      <c r="E80" s="160"/>
      <c r="F80" s="160"/>
      <c r="G80" s="160"/>
      <c r="H80" s="173"/>
      <c r="I80" s="182">
        <f>INDEX(TEMPLATE_NUMBER_POINT_FHD,B80,MATCH(TEMPLATE_SPHERE,TEMPLATE_SPHERE_LIST_FOR_NOTE,0))</f>
        <v>0</v>
      </c>
      <c r="J80" s="182">
        <f>INDEX(TEMPLATE_DATA_POINT_FHD,B80,MATCH(TEMPLATE_SPHERE,TEMPLATE_SPHERE_LIST_FOR_NOTE,0))</f>
        <v>0</v>
      </c>
      <c r="K80" s="182">
        <f>INDEX(TEMPLATE_NOTE_POINT_FHD,B80,MATCH(TEMPLATE_SPHERE,TEMPLATE_SPHERE_LIST_FOR_NOTE,0))</f>
        <v>0</v>
      </c>
      <c r="L80" s="176" t="str">
        <f t="shared" si="0"/>
        <v/>
      </c>
      <c r="M80" s="176" t="str">
        <f t="shared" si="1"/>
        <v/>
      </c>
      <c r="N80" s="176" t="str">
        <f t="shared" si="2"/>
        <v/>
      </c>
      <c r="O80" s="183" t="s">
        <v>150</v>
      </c>
      <c r="P80" s="183"/>
      <c r="Q80" s="183"/>
      <c r="R80" s="183"/>
      <c r="S80" s="183"/>
      <c r="T80" s="160" t="s">
        <v>2202</v>
      </c>
      <c r="U80" s="160"/>
      <c r="V80" s="160"/>
      <c r="W80" s="160"/>
      <c r="X80" s="160"/>
      <c r="Y80" s="189"/>
      <c r="Z80" s="158" t="s">
        <v>2203</v>
      </c>
      <c r="AA80" s="178"/>
      <c r="AB80" s="158"/>
      <c r="AC80" s="158"/>
      <c r="AD80" s="158"/>
    </row>
    <row r="81" ht="36" customHeight="1" spans="1:30">
      <c r="A81" s="161"/>
      <c r="B81" s="165">
        <v>64</v>
      </c>
      <c r="C81" s="160" t="s">
        <v>2180</v>
      </c>
      <c r="D81" s="171"/>
      <c r="E81" s="160"/>
      <c r="F81" s="160"/>
      <c r="G81" s="160"/>
      <c r="H81" s="173"/>
      <c r="I81" s="182">
        <f>INDEX(TEMPLATE_NUMBER_POINT_FHD,B81,MATCH(TEMPLATE_SPHERE,TEMPLATE_SPHERE_LIST_FOR_NOTE,0))</f>
        <v>0</v>
      </c>
      <c r="J81" s="182">
        <f>INDEX(TEMPLATE_DATA_POINT_FHD,B81,MATCH(TEMPLATE_SPHERE,TEMPLATE_SPHERE_LIST_FOR_NOTE,0))</f>
        <v>0</v>
      </c>
      <c r="K81" s="182">
        <f>INDEX(TEMPLATE_NOTE_POINT_FHD,B81,MATCH(TEMPLATE_SPHERE,TEMPLATE_SPHERE_LIST_FOR_NOTE,0))</f>
        <v>0</v>
      </c>
      <c r="L81" s="176" t="str">
        <f t="shared" si="0"/>
        <v/>
      </c>
      <c r="M81" s="176" t="str">
        <f t="shared" si="1"/>
        <v/>
      </c>
      <c r="N81" s="176" t="str">
        <f t="shared" si="2"/>
        <v/>
      </c>
      <c r="O81" s="183" t="s">
        <v>2086</v>
      </c>
      <c r="P81" s="183"/>
      <c r="Q81" s="183"/>
      <c r="R81" s="183"/>
      <c r="S81" s="183"/>
      <c r="T81" s="160" t="s">
        <v>2204</v>
      </c>
      <c r="U81" s="160"/>
      <c r="V81" s="160"/>
      <c r="W81" s="160"/>
      <c r="X81" s="160"/>
      <c r="Y81" s="189"/>
      <c r="Z81" s="158" t="s">
        <v>2205</v>
      </c>
      <c r="AA81" s="178"/>
      <c r="AB81" s="158"/>
      <c r="AC81" s="158"/>
      <c r="AD81" s="158"/>
    </row>
    <row r="82" ht="90" customHeight="1" spans="1:30">
      <c r="A82" s="161"/>
      <c r="B82" s="165">
        <v>65</v>
      </c>
      <c r="C82" s="160" t="s">
        <v>2189</v>
      </c>
      <c r="D82" s="171"/>
      <c r="E82" s="160"/>
      <c r="F82" s="160"/>
      <c r="G82" s="160"/>
      <c r="H82" s="173"/>
      <c r="I82" s="182">
        <f>INDEX(TEMPLATE_NUMBER_POINT_FHD,B82,MATCH(TEMPLATE_SPHERE,TEMPLATE_SPHERE_LIST_FOR_NOTE,0))</f>
        <v>0</v>
      </c>
      <c r="J82" s="182">
        <f>INDEX(TEMPLATE_DATA_POINT_FHD,B82,MATCH(TEMPLATE_SPHERE,TEMPLATE_SPHERE_LIST_FOR_NOTE,0))</f>
        <v>0</v>
      </c>
      <c r="K82" s="182">
        <f>INDEX(TEMPLATE_NOTE_POINT_FHD,B82,MATCH(TEMPLATE_SPHERE,TEMPLATE_SPHERE_LIST_FOR_NOTE,0))</f>
        <v>0</v>
      </c>
      <c r="L82" s="176" t="str">
        <f t="shared" ref="L82:L101" si="3">IF(I82=0,"",I82)</f>
        <v/>
      </c>
      <c r="M82" s="176" t="str">
        <f t="shared" ref="M82:M101" si="4">IF(J82=0,"",J82)</f>
        <v/>
      </c>
      <c r="N82" s="176" t="str">
        <f t="shared" ref="N82:N101" si="5">IF(K82=0,"",K82)</f>
        <v/>
      </c>
      <c r="O82" s="183" t="s">
        <v>151</v>
      </c>
      <c r="P82" s="183"/>
      <c r="Q82" s="183"/>
      <c r="R82" s="183"/>
      <c r="S82" s="183"/>
      <c r="T82" s="160" t="s">
        <v>2206</v>
      </c>
      <c r="U82" s="160"/>
      <c r="V82" s="160"/>
      <c r="W82" s="160"/>
      <c r="X82" s="160"/>
      <c r="Y82" s="189"/>
      <c r="Z82" s="158" t="s">
        <v>2207</v>
      </c>
      <c r="AA82" s="178"/>
      <c r="AB82" s="158"/>
      <c r="AC82" s="158"/>
      <c r="AD82" s="158"/>
    </row>
    <row r="83" customHeight="1" spans="1:30">
      <c r="A83" s="161"/>
      <c r="B83" s="165">
        <v>66</v>
      </c>
      <c r="C83" s="160"/>
      <c r="D83" s="171"/>
      <c r="E83" s="160"/>
      <c r="F83" s="160"/>
      <c r="G83" s="160"/>
      <c r="H83" s="173"/>
      <c r="I83" s="182">
        <f>INDEX(TEMPLATE_NUMBER_POINT_FHD,B83,MATCH(TEMPLATE_SPHERE,TEMPLATE_SPHERE_LIST_FOR_NOTE,0))</f>
        <v>0</v>
      </c>
      <c r="J83" s="182">
        <f>INDEX(TEMPLATE_DATA_POINT_FHD,B83,MATCH(TEMPLATE_SPHERE,TEMPLATE_SPHERE_LIST_FOR_NOTE,0))</f>
        <v>0</v>
      </c>
      <c r="K83" s="182">
        <f>INDEX(TEMPLATE_NOTE_POINT_FHD,B83,MATCH(TEMPLATE_SPHERE,TEMPLATE_SPHERE_LIST_FOR_NOTE,0))</f>
        <v>0</v>
      </c>
      <c r="L83" s="176" t="str">
        <f t="shared" si="3"/>
        <v/>
      </c>
      <c r="M83" s="176" t="str">
        <f t="shared" si="4"/>
        <v/>
      </c>
      <c r="N83" s="176" t="str">
        <f t="shared" si="5"/>
        <v/>
      </c>
      <c r="O83" s="183" t="s">
        <v>2095</v>
      </c>
      <c r="P83" s="183"/>
      <c r="Q83" s="183"/>
      <c r="R83" s="183"/>
      <c r="S83" s="183"/>
      <c r="T83" s="160" t="s">
        <v>2208</v>
      </c>
      <c r="U83" s="160"/>
      <c r="V83" s="160"/>
      <c r="W83" s="160"/>
      <c r="X83" s="160"/>
      <c r="Y83" s="189"/>
      <c r="Z83" s="158"/>
      <c r="AA83" s="178"/>
      <c r="AB83" s="158"/>
      <c r="AC83" s="158"/>
      <c r="AD83" s="158"/>
    </row>
    <row r="84" ht="54" customHeight="1" spans="1:30">
      <c r="A84" s="161"/>
      <c r="B84" s="165">
        <v>67</v>
      </c>
      <c r="C84" s="160"/>
      <c r="D84" s="171"/>
      <c r="E84" s="160"/>
      <c r="F84" s="160"/>
      <c r="G84" s="160"/>
      <c r="H84" s="173"/>
      <c r="I84" s="182">
        <f>INDEX(TEMPLATE_NUMBER_POINT_FHD,B84,MATCH(TEMPLATE_SPHERE,TEMPLATE_SPHERE_LIST_FOR_NOTE,0))</f>
        <v>0</v>
      </c>
      <c r="J84" s="182">
        <f>INDEX(TEMPLATE_DATA_POINT_FHD,B84,MATCH(TEMPLATE_SPHERE,TEMPLATE_SPHERE_LIST_FOR_NOTE,0))</f>
        <v>0</v>
      </c>
      <c r="K84" s="182">
        <f>INDEX(TEMPLATE_NOTE_POINT_FHD,B84,MATCH(TEMPLATE_SPHERE,TEMPLATE_SPHERE_LIST_FOR_NOTE,0))</f>
        <v>0</v>
      </c>
      <c r="L84" s="176" t="str">
        <f t="shared" si="3"/>
        <v/>
      </c>
      <c r="M84" s="176" t="str">
        <f t="shared" si="4"/>
        <v/>
      </c>
      <c r="N84" s="176" t="str">
        <f t="shared" si="5"/>
        <v/>
      </c>
      <c r="O84" s="183" t="s">
        <v>2209</v>
      </c>
      <c r="P84" s="183"/>
      <c r="Q84" s="183"/>
      <c r="R84" s="183"/>
      <c r="S84" s="183"/>
      <c r="T84" s="160" t="s">
        <v>2210</v>
      </c>
      <c r="U84" s="160"/>
      <c r="V84" s="160"/>
      <c r="W84" s="160"/>
      <c r="X84" s="160"/>
      <c r="Y84" s="189"/>
      <c r="Z84" s="158"/>
      <c r="AA84" s="178"/>
      <c r="AB84" s="158"/>
      <c r="AC84" s="158"/>
      <c r="AD84" s="158"/>
    </row>
    <row r="85" customHeight="1" spans="1:30">
      <c r="A85" s="161"/>
      <c r="B85" s="165">
        <v>68</v>
      </c>
      <c r="C85" s="160"/>
      <c r="D85" s="171"/>
      <c r="E85" s="160"/>
      <c r="F85" s="160"/>
      <c r="G85" s="160"/>
      <c r="H85" s="173"/>
      <c r="I85" s="182">
        <f>INDEX(TEMPLATE_NUMBER_POINT_FHD,B85,MATCH(TEMPLATE_SPHERE,TEMPLATE_SPHERE_LIST_FOR_NOTE,0))</f>
        <v>0</v>
      </c>
      <c r="J85" s="182">
        <f>INDEX(TEMPLATE_DATA_POINT_FHD,B85,MATCH(TEMPLATE_SPHERE,TEMPLATE_SPHERE_LIST_FOR_NOTE,0))</f>
        <v>0</v>
      </c>
      <c r="K85" s="182">
        <f>INDEX(TEMPLATE_NOTE_POINT_FHD,B85,MATCH(TEMPLATE_SPHERE,TEMPLATE_SPHERE_LIST_FOR_NOTE,0))</f>
        <v>0</v>
      </c>
      <c r="L85" s="176" t="str">
        <f t="shared" si="3"/>
        <v/>
      </c>
      <c r="M85" s="176" t="str">
        <f t="shared" si="4"/>
        <v/>
      </c>
      <c r="N85" s="176" t="str">
        <f t="shared" si="5"/>
        <v/>
      </c>
      <c r="O85" s="183" t="s">
        <v>2099</v>
      </c>
      <c r="P85" s="183"/>
      <c r="Q85" s="183"/>
      <c r="R85" s="183"/>
      <c r="S85" s="183"/>
      <c r="T85" s="160" t="s">
        <v>2211</v>
      </c>
      <c r="U85" s="160"/>
      <c r="V85" s="160"/>
      <c r="W85" s="160"/>
      <c r="X85" s="160"/>
      <c r="Y85" s="189"/>
      <c r="Z85" s="158"/>
      <c r="AA85" s="178"/>
      <c r="AB85" s="158"/>
      <c r="AC85" s="158"/>
      <c r="AD85" s="158"/>
    </row>
    <row r="86" ht="27" customHeight="1" spans="1:30">
      <c r="A86" s="161"/>
      <c r="B86" s="165">
        <v>69</v>
      </c>
      <c r="C86" s="160"/>
      <c r="D86" s="171"/>
      <c r="E86" s="160"/>
      <c r="F86" s="160"/>
      <c r="G86" s="160"/>
      <c r="H86" s="173"/>
      <c r="I86" s="182">
        <f>INDEX(TEMPLATE_NUMBER_POINT_FHD,B86,MATCH(TEMPLATE_SPHERE,TEMPLATE_SPHERE_LIST_FOR_NOTE,0))</f>
        <v>0</v>
      </c>
      <c r="J86" s="182">
        <f>INDEX(TEMPLATE_DATA_POINT_FHD,B86,MATCH(TEMPLATE_SPHERE,TEMPLATE_SPHERE_LIST_FOR_NOTE,0))</f>
        <v>0</v>
      </c>
      <c r="K86" s="182">
        <f>INDEX(TEMPLATE_NOTE_POINT_FHD,B86,MATCH(TEMPLATE_SPHERE,TEMPLATE_SPHERE_LIST_FOR_NOTE,0))</f>
        <v>0</v>
      </c>
      <c r="L86" s="176" t="str">
        <f t="shared" si="3"/>
        <v/>
      </c>
      <c r="M86" s="176" t="str">
        <f t="shared" si="4"/>
        <v/>
      </c>
      <c r="N86" s="176" t="str">
        <f t="shared" si="5"/>
        <v/>
      </c>
      <c r="O86" s="183" t="s">
        <v>2212</v>
      </c>
      <c r="P86" s="183"/>
      <c r="Q86" s="183"/>
      <c r="R86" s="183"/>
      <c r="S86" s="183"/>
      <c r="T86" s="160" t="s">
        <v>2213</v>
      </c>
      <c r="U86" s="160"/>
      <c r="V86" s="160"/>
      <c r="W86" s="160"/>
      <c r="X86" s="160"/>
      <c r="Y86" s="189"/>
      <c r="Z86" s="158"/>
      <c r="AA86" s="178"/>
      <c r="AB86" s="158"/>
      <c r="AC86" s="158"/>
      <c r="AD86" s="158"/>
    </row>
    <row r="87" ht="36" customHeight="1" spans="1:30">
      <c r="A87" s="161"/>
      <c r="B87" s="165">
        <v>70</v>
      </c>
      <c r="C87" s="160" t="s">
        <v>2214</v>
      </c>
      <c r="D87" s="171"/>
      <c r="E87" s="160"/>
      <c r="F87" s="160"/>
      <c r="G87" s="160"/>
      <c r="H87" s="173"/>
      <c r="I87" s="182">
        <f>INDEX(TEMPLATE_NUMBER_POINT_FHD,B87,MATCH(TEMPLATE_SPHERE,TEMPLATE_SPHERE_LIST_FOR_NOTE,0))</f>
        <v>0</v>
      </c>
      <c r="J87" s="182">
        <f>INDEX(TEMPLATE_DATA_POINT_FHD,B87,MATCH(TEMPLATE_SPHERE,TEMPLATE_SPHERE_LIST_FOR_NOTE,0))</f>
        <v>0</v>
      </c>
      <c r="K87" s="182">
        <f>INDEX(TEMPLATE_NOTE_POINT_FHD,B87,MATCH(TEMPLATE_SPHERE,TEMPLATE_SPHERE_LIST_FOR_NOTE,0))</f>
        <v>0</v>
      </c>
      <c r="L87" s="176" t="str">
        <f t="shared" si="3"/>
        <v/>
      </c>
      <c r="M87" s="176" t="str">
        <f t="shared" si="4"/>
        <v/>
      </c>
      <c r="N87" s="176" t="str">
        <f t="shared" si="5"/>
        <v/>
      </c>
      <c r="O87" s="183" t="s">
        <v>152</v>
      </c>
      <c r="P87" s="183"/>
      <c r="Q87" s="183"/>
      <c r="R87" s="183"/>
      <c r="S87" s="183"/>
      <c r="T87" s="160" t="s">
        <v>2215</v>
      </c>
      <c r="U87" s="160"/>
      <c r="V87" s="160"/>
      <c r="W87" s="160"/>
      <c r="X87" s="160"/>
      <c r="Y87" s="189"/>
      <c r="Z87" s="158"/>
      <c r="AA87" s="178"/>
      <c r="AB87" s="158"/>
      <c r="AC87" s="158"/>
      <c r="AD87" s="158"/>
    </row>
    <row r="88" ht="18" customHeight="1" spans="1:30">
      <c r="A88" s="161"/>
      <c r="B88" s="165">
        <v>71</v>
      </c>
      <c r="C88" s="160" t="s">
        <v>2216</v>
      </c>
      <c r="D88" s="171"/>
      <c r="E88" s="160"/>
      <c r="F88" s="160"/>
      <c r="G88" s="160"/>
      <c r="H88" s="173"/>
      <c r="I88" s="182">
        <f>INDEX(TEMPLATE_NUMBER_POINT_FHD,B88,MATCH(TEMPLATE_SPHERE,TEMPLATE_SPHERE_LIST_FOR_NOTE,0))</f>
        <v>0</v>
      </c>
      <c r="J88" s="182">
        <f>INDEX(TEMPLATE_DATA_POINT_FHD,B88,MATCH(TEMPLATE_SPHERE,TEMPLATE_SPHERE_LIST_FOR_NOTE,0))</f>
        <v>0</v>
      </c>
      <c r="K88" s="182">
        <f>INDEX(TEMPLATE_NOTE_POINT_FHD,B88,MATCH(TEMPLATE_SPHERE,TEMPLATE_SPHERE_LIST_FOR_NOTE,0))</f>
        <v>0</v>
      </c>
      <c r="L88" s="176" t="str">
        <f t="shared" si="3"/>
        <v/>
      </c>
      <c r="M88" s="176" t="str">
        <f t="shared" si="4"/>
        <v/>
      </c>
      <c r="N88" s="176" t="str">
        <f t="shared" si="5"/>
        <v/>
      </c>
      <c r="O88" s="183" t="s">
        <v>153</v>
      </c>
      <c r="P88" s="183"/>
      <c r="Q88" s="183"/>
      <c r="R88" s="183"/>
      <c r="S88" s="183"/>
      <c r="T88" s="160" t="s">
        <v>676</v>
      </c>
      <c r="U88" s="160"/>
      <c r="V88" s="160"/>
      <c r="W88" s="160"/>
      <c r="X88" s="160"/>
      <c r="Y88" s="189"/>
      <c r="Z88" s="158"/>
      <c r="AA88" s="178"/>
      <c r="AB88" s="158"/>
      <c r="AC88" s="158"/>
      <c r="AD88" s="158"/>
    </row>
    <row r="89" ht="18" customHeight="1" spans="1:30">
      <c r="A89" s="161"/>
      <c r="B89" s="165">
        <v>72</v>
      </c>
      <c r="C89" s="160" t="s">
        <v>2217</v>
      </c>
      <c r="D89" s="171" t="s">
        <v>2214</v>
      </c>
      <c r="E89" s="160" t="s">
        <v>2214</v>
      </c>
      <c r="F89" s="160" t="s">
        <v>2180</v>
      </c>
      <c r="G89" s="160"/>
      <c r="H89" s="173"/>
      <c r="I89" s="182" t="str">
        <f>INDEX(TEMPLATE_NUMBER_POINT_FHD,B89,MATCH(TEMPLATE_SPHERE,TEMPLATE_SPHERE_LIST_FOR_NOTE,0))</f>
        <v>12</v>
      </c>
      <c r="J89" s="182" t="str">
        <f>INDEX(TEMPLATE_DATA_POINT_FHD,B89,MATCH(TEMPLATE_SPHERE,TEMPLATE_SPHERE_LIST_FOR_NOTE,0))</f>
        <v>Среднесписочная численность основного производственного персонала</v>
      </c>
      <c r="K89" s="182">
        <f>INDEX(TEMPLATE_NOTE_POINT_FHD,B89,MATCH(TEMPLATE_SPHERE,TEMPLATE_SPHERE_LIST_FOR_NOTE,0))</f>
        <v>0</v>
      </c>
      <c r="L89" s="176" t="str">
        <f t="shared" si="3"/>
        <v>12</v>
      </c>
      <c r="M89" s="176" t="str">
        <f t="shared" si="4"/>
        <v>Среднесписочная численность основного производственного персонала</v>
      </c>
      <c r="N89" s="176" t="str">
        <f t="shared" si="5"/>
        <v/>
      </c>
      <c r="O89" s="183" t="s">
        <v>154</v>
      </c>
      <c r="P89" s="183" t="s">
        <v>153</v>
      </c>
      <c r="Q89" s="183" t="s">
        <v>153</v>
      </c>
      <c r="R89" s="183" t="s">
        <v>151</v>
      </c>
      <c r="S89" s="183"/>
      <c r="T89" s="160" t="s">
        <v>684</v>
      </c>
      <c r="U89" s="160" t="s">
        <v>684</v>
      </c>
      <c r="V89" s="160" t="s">
        <v>684</v>
      </c>
      <c r="W89" s="160" t="s">
        <v>684</v>
      </c>
      <c r="X89" s="160"/>
      <c r="Y89" s="189"/>
      <c r="Z89" s="158"/>
      <c r="AA89" s="178"/>
      <c r="AB89" s="158"/>
      <c r="AC89" s="158"/>
      <c r="AD89" s="158"/>
    </row>
    <row r="90" ht="27" customHeight="1" spans="1:30">
      <c r="A90" s="161"/>
      <c r="B90" s="165">
        <v>73</v>
      </c>
      <c r="C90" s="160" t="s">
        <v>2218</v>
      </c>
      <c r="D90" s="171"/>
      <c r="E90" s="160"/>
      <c r="F90" s="160"/>
      <c r="G90" s="160"/>
      <c r="H90" s="173"/>
      <c r="I90" s="182">
        <f>INDEX(TEMPLATE_NUMBER_POINT_FHD,B90,MATCH(TEMPLATE_SPHERE,TEMPLATE_SPHERE_LIST_FOR_NOTE,0))</f>
        <v>0</v>
      </c>
      <c r="J90" s="182">
        <f>INDEX(TEMPLATE_DATA_POINT_FHD,B90,MATCH(TEMPLATE_SPHERE,TEMPLATE_SPHERE_LIST_FOR_NOTE,0))</f>
        <v>0</v>
      </c>
      <c r="K90" s="182">
        <f>INDEX(TEMPLATE_NOTE_POINT_FHD,B90,MATCH(TEMPLATE_SPHERE,TEMPLATE_SPHERE_LIST_FOR_NOTE,0))</f>
        <v>0</v>
      </c>
      <c r="L90" s="176" t="str">
        <f t="shared" si="3"/>
        <v/>
      </c>
      <c r="M90" s="176" t="str">
        <f t="shared" si="4"/>
        <v/>
      </c>
      <c r="N90" s="176" t="str">
        <f t="shared" si="5"/>
        <v/>
      </c>
      <c r="O90" s="183" t="s">
        <v>155</v>
      </c>
      <c r="P90" s="183"/>
      <c r="Q90" s="183"/>
      <c r="R90" s="183"/>
      <c r="S90" s="183"/>
      <c r="T90" s="160" t="s">
        <v>686</v>
      </c>
      <c r="U90" s="160"/>
      <c r="V90" s="160"/>
      <c r="W90" s="160"/>
      <c r="X90" s="160"/>
      <c r="Y90" s="189"/>
      <c r="Z90" s="158"/>
      <c r="AA90" s="178"/>
      <c r="AB90" s="158"/>
      <c r="AC90" s="158"/>
      <c r="AD90" s="158"/>
    </row>
    <row r="91" ht="18" customHeight="1" spans="1:30">
      <c r="A91" s="161"/>
      <c r="B91" s="165">
        <v>74</v>
      </c>
      <c r="C91" s="160"/>
      <c r="D91" s="171" t="s">
        <v>2216</v>
      </c>
      <c r="E91" s="160" t="s">
        <v>2216</v>
      </c>
      <c r="F91" s="160"/>
      <c r="G91" s="160"/>
      <c r="H91" s="173"/>
      <c r="I91" s="182" t="str">
        <f>INDEX(TEMPLATE_NUMBER_POINT_FHD,B91,MATCH(TEMPLATE_SPHERE,TEMPLATE_SPHERE_LIST_FOR_NOTE,0))</f>
        <v>13</v>
      </c>
      <c r="J91" s="182" t="str">
        <f>INDEX(TEMPLATE_DATA_POINT_FHD,B91,MATCH(TEMPLATE_SPHERE,TEMPLATE_SPHERE_LIST_FOR_NOTE,0))</f>
        <v>Удельный расход электрической энергии на подачу воды в сеть</v>
      </c>
      <c r="K91" s="182">
        <f>INDEX(TEMPLATE_NOTE_POINT_FHD,B91,MATCH(TEMPLATE_SPHERE,TEMPLATE_SPHERE_LIST_FOR_NOTE,0))</f>
        <v>0</v>
      </c>
      <c r="L91" s="176" t="str">
        <f t="shared" si="3"/>
        <v>13</v>
      </c>
      <c r="M91" s="176" t="str">
        <f t="shared" si="4"/>
        <v>Удельный расход электрической энергии на подачу воды в сеть</v>
      </c>
      <c r="N91" s="176" t="str">
        <f t="shared" si="5"/>
        <v/>
      </c>
      <c r="O91" s="183"/>
      <c r="P91" s="183" t="s">
        <v>154</v>
      </c>
      <c r="Q91" s="183" t="s">
        <v>154</v>
      </c>
      <c r="R91" s="183"/>
      <c r="S91" s="183"/>
      <c r="T91" s="160"/>
      <c r="U91" s="160" t="s">
        <v>2219</v>
      </c>
      <c r="V91" s="160" t="s">
        <v>2219</v>
      </c>
      <c r="W91" s="160"/>
      <c r="X91" s="160"/>
      <c r="Y91" s="189"/>
      <c r="Z91" s="158"/>
      <c r="AA91" s="178"/>
      <c r="AB91" s="158"/>
      <c r="AC91" s="158"/>
      <c r="AD91" s="158"/>
    </row>
    <row r="92" ht="27" customHeight="1" spans="1:30">
      <c r="A92" s="161"/>
      <c r="B92" s="165">
        <v>75</v>
      </c>
      <c r="C92" s="160"/>
      <c r="D92" s="171" t="s">
        <v>2217</v>
      </c>
      <c r="E92" s="160"/>
      <c r="F92" s="160"/>
      <c r="G92" s="160"/>
      <c r="H92" s="173"/>
      <c r="I92" s="182" t="str">
        <f>INDEX(TEMPLATE_NUMBER_POINT_FHD,B92,MATCH(TEMPLATE_SPHERE,TEMPLATE_SPHERE_LIST_FOR_NOTE,0))</f>
        <v>14</v>
      </c>
      <c r="J92" s="182" t="str">
        <f>INDEX(TEMPLATE_DATA_POINT_FHD,B92,MATCH(TEMPLATE_SPHERE,TEMPLATE_SPHERE_LIST_FOR_NOTE,0))</f>
        <v>Расход воды на собственные нужды, в том числе:</v>
      </c>
      <c r="K92" s="182" t="str">
        <f>INDEX(TEMPLATE_NOTE_POINT_FHD,B92,MATCH(TEMPLATE_SPHERE,TEMPLATE_SPHERE_LIST_FOR_NOTE,0))</f>
        <v>Указывается доля общего расхода воды на собственные нужны от объема отпуска воды потребителям.</v>
      </c>
      <c r="L92" s="176" t="str">
        <f t="shared" si="3"/>
        <v>14</v>
      </c>
      <c r="M92" s="176" t="str">
        <f t="shared" si="4"/>
        <v>Расход воды на собственные нужды, в том числе:</v>
      </c>
      <c r="N92" s="176" t="str">
        <f t="shared" si="5"/>
        <v>Указывается доля общего расхода воды на собственные нужны от объема отпуска воды потребителям.</v>
      </c>
      <c r="O92" s="183"/>
      <c r="P92" s="183" t="s">
        <v>155</v>
      </c>
      <c r="Q92" s="183"/>
      <c r="R92" s="183"/>
      <c r="S92" s="183"/>
      <c r="T92" s="160"/>
      <c r="U92" s="160" t="s">
        <v>2220</v>
      </c>
      <c r="V92" s="160"/>
      <c r="W92" s="160"/>
      <c r="X92" s="160"/>
      <c r="Y92" s="189"/>
      <c r="Z92" s="158"/>
      <c r="AA92" s="178" t="s">
        <v>2221</v>
      </c>
      <c r="AB92" s="158"/>
      <c r="AC92" s="158"/>
      <c r="AD92" s="158"/>
    </row>
    <row r="93" ht="27" customHeight="1" spans="1:30">
      <c r="A93" s="161"/>
      <c r="B93" s="165">
        <v>76</v>
      </c>
      <c r="C93" s="160"/>
      <c r="D93" s="171"/>
      <c r="E93" s="160"/>
      <c r="F93" s="160"/>
      <c r="G93" s="160"/>
      <c r="H93" s="173"/>
      <c r="I93" s="182" t="str">
        <f>INDEX(TEMPLATE_NUMBER_POINT_FHD,B93,MATCH(TEMPLATE_SPHERE,TEMPLATE_SPHERE_LIST_FOR_NOTE,0))</f>
        <v>14.1</v>
      </c>
      <c r="J93" s="182" t="str">
        <f>INDEX(TEMPLATE_DATA_POINT_FHD,B93,MATCH(TEMPLATE_SPHERE,TEMPLATE_SPHERE_LIST_FOR_NOTE,0))</f>
        <v>Расход воды на хозяйственно-бытовые нужды</v>
      </c>
      <c r="K93" s="182"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176" t="str">
        <f t="shared" si="3"/>
        <v>14.1</v>
      </c>
      <c r="M93" s="176" t="str">
        <f t="shared" si="4"/>
        <v>Расход воды на хозяйственно-бытовые нужды</v>
      </c>
      <c r="N93" s="176" t="str">
        <f t="shared" si="5"/>
        <v>Указывается доля расхода воды на хозяйственно-бытовые нужны от объема отпуска воды потребителям.</v>
      </c>
      <c r="O93" s="183"/>
      <c r="P93" s="183" t="s">
        <v>2127</v>
      </c>
      <c r="Q93" s="183"/>
      <c r="R93" s="183"/>
      <c r="S93" s="183"/>
      <c r="T93" s="160"/>
      <c r="U93" s="160" t="s">
        <v>2222</v>
      </c>
      <c r="V93" s="160"/>
      <c r="W93" s="160"/>
      <c r="X93" s="160"/>
      <c r="Y93" s="189"/>
      <c r="Z93" s="158"/>
      <c r="AA93" s="178" t="s">
        <v>2223</v>
      </c>
      <c r="AB93" s="158"/>
      <c r="AC93" s="158"/>
      <c r="AD93" s="158"/>
    </row>
    <row r="94" ht="45" customHeight="1" spans="1:30">
      <c r="A94" s="161"/>
      <c r="B94" s="165">
        <v>77</v>
      </c>
      <c r="C94" s="160"/>
      <c r="D94" s="171" t="s">
        <v>2218</v>
      </c>
      <c r="E94" s="160"/>
      <c r="F94" s="160"/>
      <c r="G94" s="160"/>
      <c r="H94" s="173"/>
      <c r="I94" s="182" t="str">
        <f>INDEX(TEMPLATE_NUMBER_POINT_FHD,B94,MATCH(TEMPLATE_SPHERE,TEMPLATE_SPHERE_LIST_FOR_NOTE,0))</f>
        <v>15</v>
      </c>
      <c r="J94" s="182" t="str">
        <f>INDEX(TEMPLATE_DATA_POINT_FHD,B94,MATCH(TEMPLATE_SPHERE,TEMPLATE_SPHERE_LIST_FOR_NOTE,0))</f>
        <v>Показатель использования производственных объектов (по объему перекачки), в том числе:</v>
      </c>
      <c r="K94" s="182"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176" t="str">
        <f t="shared" si="3"/>
        <v>15</v>
      </c>
      <c r="M94" s="176" t="str">
        <f t="shared" si="4"/>
        <v>Показатель использования производственных объектов (по объему перекачки), в том числе:</v>
      </c>
      <c r="N94" s="176" t="str">
        <f t="shared" si="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183"/>
      <c r="P94" s="183" t="s">
        <v>1480</v>
      </c>
      <c r="Q94" s="183"/>
      <c r="R94" s="183"/>
      <c r="S94" s="183"/>
      <c r="T94" s="160"/>
      <c r="U94" s="160" t="s">
        <v>2224</v>
      </c>
      <c r="V94" s="160"/>
      <c r="W94" s="160"/>
      <c r="X94" s="160"/>
      <c r="Y94" s="189"/>
      <c r="Z94" s="158"/>
      <c r="AA94" s="178" t="s">
        <v>2225</v>
      </c>
      <c r="AB94" s="158"/>
      <c r="AC94" s="158"/>
      <c r="AD94" s="158"/>
    </row>
    <row r="95" ht="99" customHeight="1" spans="1:30">
      <c r="A95" s="161"/>
      <c r="B95" s="165">
        <v>78</v>
      </c>
      <c r="C95" s="160" t="s">
        <v>2226</v>
      </c>
      <c r="D95" s="171"/>
      <c r="E95" s="160"/>
      <c r="F95" s="160"/>
      <c r="G95" s="160"/>
      <c r="H95" s="173"/>
      <c r="I95" s="182">
        <f>INDEX(TEMPLATE_NUMBER_POINT_FHD,B95,MATCH(TEMPLATE_SPHERE,TEMPLATE_SPHERE_LIST_FOR_NOTE,0))</f>
        <v>0</v>
      </c>
      <c r="J95" s="182">
        <f>INDEX(TEMPLATE_DATA_POINT_FHD,B95,MATCH(TEMPLATE_SPHERE,TEMPLATE_SPHERE_LIST_FOR_NOTE,0))</f>
        <v>0</v>
      </c>
      <c r="K95" s="182">
        <f>INDEX(TEMPLATE_NOTE_POINT_FHD,B95,MATCH(TEMPLATE_SPHERE,TEMPLATE_SPHERE_LIST_FOR_NOTE,0))</f>
        <v>0</v>
      </c>
      <c r="L95" s="176" t="str">
        <f t="shared" si="3"/>
        <v/>
      </c>
      <c r="M95" s="176" t="str">
        <f t="shared" si="4"/>
        <v/>
      </c>
      <c r="N95" s="176" t="str">
        <f t="shared" si="5"/>
        <v/>
      </c>
      <c r="O95" s="183" t="s">
        <v>1480</v>
      </c>
      <c r="P95" s="183"/>
      <c r="Q95" s="183"/>
      <c r="R95" s="183"/>
      <c r="S95" s="183"/>
      <c r="T95" s="160" t="s">
        <v>2227</v>
      </c>
      <c r="U95" s="160"/>
      <c r="V95" s="160"/>
      <c r="W95" s="160"/>
      <c r="X95" s="160"/>
      <c r="Y95" s="189"/>
      <c r="Z95" s="158"/>
      <c r="AA95" s="178"/>
      <c r="AB95" s="158"/>
      <c r="AC95" s="158"/>
      <c r="AD95" s="158"/>
    </row>
    <row r="96" ht="99" customHeight="1" spans="1:30">
      <c r="A96" s="161"/>
      <c r="B96" s="165">
        <v>79</v>
      </c>
      <c r="C96" s="160" t="s">
        <v>1170</v>
      </c>
      <c r="D96" s="171"/>
      <c r="E96" s="160"/>
      <c r="F96" s="160"/>
      <c r="G96" s="160"/>
      <c r="H96" s="173"/>
      <c r="I96" s="182">
        <f>INDEX(TEMPLATE_NUMBER_POINT_FHD,B96,MATCH(TEMPLATE_SPHERE,TEMPLATE_SPHERE_LIST_FOR_NOTE,0))</f>
        <v>0</v>
      </c>
      <c r="J96" s="182">
        <f>INDEX(TEMPLATE_DATA_POINT_FHD,B96,MATCH(TEMPLATE_SPHERE,TEMPLATE_SPHERE_LIST_FOR_NOTE,0))</f>
        <v>0</v>
      </c>
      <c r="K96" s="182">
        <f>INDEX(TEMPLATE_NOTE_POINT_FHD,B96,MATCH(TEMPLATE_SPHERE,TEMPLATE_SPHERE_LIST_FOR_NOTE,0))</f>
        <v>0</v>
      </c>
      <c r="L96" s="176" t="str">
        <f t="shared" si="3"/>
        <v/>
      </c>
      <c r="M96" s="176" t="str">
        <f t="shared" si="4"/>
        <v/>
      </c>
      <c r="N96" s="176" t="str">
        <f t="shared" si="5"/>
        <v/>
      </c>
      <c r="O96" s="183" t="s">
        <v>1486</v>
      </c>
      <c r="P96" s="183"/>
      <c r="Q96" s="183"/>
      <c r="R96" s="183"/>
      <c r="S96" s="183"/>
      <c r="T96" s="160" t="s">
        <v>2228</v>
      </c>
      <c r="U96" s="160"/>
      <c r="V96" s="160"/>
      <c r="W96" s="160"/>
      <c r="X96" s="160"/>
      <c r="Y96" s="189"/>
      <c r="Z96" s="158" t="s">
        <v>2229</v>
      </c>
      <c r="AA96" s="178"/>
      <c r="AB96" s="158"/>
      <c r="AC96" s="158"/>
      <c r="AD96" s="158"/>
    </row>
    <row r="97" ht="63" customHeight="1" spans="1:30">
      <c r="A97" s="161"/>
      <c r="B97" s="165">
        <v>80</v>
      </c>
      <c r="C97" s="160" t="s">
        <v>2230</v>
      </c>
      <c r="D97" s="171"/>
      <c r="E97" s="160"/>
      <c r="F97" s="160"/>
      <c r="G97" s="160"/>
      <c r="H97" s="173"/>
      <c r="I97" s="182">
        <f>INDEX(TEMPLATE_NUMBER_POINT_FHD,B97,MATCH(TEMPLATE_SPHERE,TEMPLATE_SPHERE_LIST_FOR_NOTE,0))</f>
        <v>0</v>
      </c>
      <c r="J97" s="182">
        <f>INDEX(TEMPLATE_DATA_POINT_FHD,B97,MATCH(TEMPLATE_SPHERE,TEMPLATE_SPHERE_LIST_FOR_NOTE,0))</f>
        <v>0</v>
      </c>
      <c r="K97" s="182">
        <f>INDEX(TEMPLATE_NOTE_POINT_FHD,B97,MATCH(TEMPLATE_SPHERE,TEMPLATE_SPHERE_LIST_FOR_NOTE,0))</f>
        <v>0</v>
      </c>
      <c r="L97" s="176" t="str">
        <f t="shared" si="3"/>
        <v/>
      </c>
      <c r="M97" s="176" t="str">
        <f t="shared" si="4"/>
        <v/>
      </c>
      <c r="N97" s="176" t="str">
        <f t="shared" si="5"/>
        <v/>
      </c>
      <c r="O97" s="183" t="s">
        <v>1498</v>
      </c>
      <c r="P97" s="183"/>
      <c r="Q97" s="183"/>
      <c r="R97" s="183"/>
      <c r="S97" s="183"/>
      <c r="T97" s="160" t="s">
        <v>2231</v>
      </c>
      <c r="U97" s="160"/>
      <c r="V97" s="160"/>
      <c r="W97" s="160"/>
      <c r="X97" s="160"/>
      <c r="Y97" s="189"/>
      <c r="Z97" s="158" t="s">
        <v>2232</v>
      </c>
      <c r="AA97" s="178"/>
      <c r="AB97" s="158"/>
      <c r="AC97" s="158"/>
      <c r="AD97" s="158"/>
    </row>
    <row r="98" ht="63" customHeight="1" spans="1:30">
      <c r="A98" s="161"/>
      <c r="B98" s="165">
        <v>81</v>
      </c>
      <c r="C98" s="160" t="s">
        <v>2233</v>
      </c>
      <c r="D98" s="171"/>
      <c r="E98" s="160"/>
      <c r="F98" s="160"/>
      <c r="G98" s="160"/>
      <c r="H98" s="173"/>
      <c r="I98" s="182">
        <f>INDEX(TEMPLATE_NUMBER_POINT_FHD,B98,MATCH(TEMPLATE_SPHERE,TEMPLATE_SPHERE_LIST_FOR_NOTE,0))</f>
        <v>0</v>
      </c>
      <c r="J98" s="182">
        <f>INDEX(TEMPLATE_DATA_POINT_FHD,B98,MATCH(TEMPLATE_SPHERE,TEMPLATE_SPHERE_LIST_FOR_NOTE,0))</f>
        <v>0</v>
      </c>
      <c r="K98" s="182">
        <f>INDEX(TEMPLATE_NOTE_POINT_FHD,B98,MATCH(TEMPLATE_SPHERE,TEMPLATE_SPHERE_LIST_FOR_NOTE,0))</f>
        <v>0</v>
      </c>
      <c r="L98" s="176" t="str">
        <f t="shared" si="3"/>
        <v/>
      </c>
      <c r="M98" s="176" t="str">
        <f t="shared" si="4"/>
        <v/>
      </c>
      <c r="N98" s="176" t="str">
        <f t="shared" si="5"/>
        <v/>
      </c>
      <c r="O98" s="183" t="s">
        <v>1512</v>
      </c>
      <c r="P98" s="183"/>
      <c r="Q98" s="183"/>
      <c r="R98" s="183"/>
      <c r="S98" s="183"/>
      <c r="T98" s="160" t="s">
        <v>2234</v>
      </c>
      <c r="U98" s="160"/>
      <c r="V98" s="160"/>
      <c r="W98" s="160"/>
      <c r="X98" s="160"/>
      <c r="Y98" s="189"/>
      <c r="Z98" s="158" t="s">
        <v>2232</v>
      </c>
      <c r="AA98" s="178"/>
      <c r="AB98" s="158"/>
      <c r="AC98" s="158"/>
      <c r="AD98" s="158"/>
    </row>
    <row r="99" ht="90" customHeight="1" spans="1:30">
      <c r="A99" s="161"/>
      <c r="B99" s="165">
        <v>82</v>
      </c>
      <c r="C99" s="160" t="s">
        <v>2235</v>
      </c>
      <c r="D99" s="171"/>
      <c r="E99" s="160"/>
      <c r="F99" s="160"/>
      <c r="G99" s="160"/>
      <c r="H99" s="173"/>
      <c r="I99" s="182">
        <f>INDEX(TEMPLATE_NUMBER_POINT_FHD,B99,MATCH(TEMPLATE_SPHERE,TEMPLATE_SPHERE_LIST_FOR_NOTE,0))</f>
        <v>0</v>
      </c>
      <c r="J99" s="182">
        <f>INDEX(TEMPLATE_DATA_POINT_FHD,B99,MATCH(TEMPLATE_SPHERE,TEMPLATE_SPHERE_LIST_FOR_NOTE,0))</f>
        <v>0</v>
      </c>
      <c r="K99" s="182">
        <f>INDEX(TEMPLATE_NOTE_POINT_FHD,B99,MATCH(TEMPLATE_SPHERE,TEMPLATE_SPHERE_LIST_FOR_NOTE,0))</f>
        <v>0</v>
      </c>
      <c r="L99" s="176" t="str">
        <f t="shared" si="3"/>
        <v/>
      </c>
      <c r="M99" s="176" t="str">
        <f t="shared" si="4"/>
        <v/>
      </c>
      <c r="N99" s="176" t="str">
        <f t="shared" si="5"/>
        <v/>
      </c>
      <c r="O99" s="183" t="s">
        <v>1524</v>
      </c>
      <c r="P99" s="183"/>
      <c r="Q99" s="183"/>
      <c r="R99" s="183"/>
      <c r="S99" s="183"/>
      <c r="T99" s="160" t="s">
        <v>2236</v>
      </c>
      <c r="U99" s="160"/>
      <c r="V99" s="160"/>
      <c r="W99" s="160"/>
      <c r="X99" s="160"/>
      <c r="Y99" s="189"/>
      <c r="Z99" s="158" t="s">
        <v>641</v>
      </c>
      <c r="AA99" s="178"/>
      <c r="AB99" s="158"/>
      <c r="AC99" s="158"/>
      <c r="AD99" s="158"/>
    </row>
    <row r="100" ht="27" customHeight="1" spans="1:30">
      <c r="A100" s="161"/>
      <c r="B100" s="165">
        <v>83</v>
      </c>
      <c r="C100" s="160"/>
      <c r="D100" s="171"/>
      <c r="E100" s="160"/>
      <c r="F100" s="160"/>
      <c r="G100" s="160"/>
      <c r="H100" s="173"/>
      <c r="I100" s="182">
        <f>INDEX(TEMPLATE_NUMBER_POINT_FHD,B100,MATCH(TEMPLATE_SPHERE,TEMPLATE_SPHERE_LIST_FOR_NOTE,0))</f>
        <v>0</v>
      </c>
      <c r="J100" s="182">
        <f>INDEX(TEMPLATE_DATA_POINT_FHD,B100,MATCH(TEMPLATE_SPHERE,TEMPLATE_SPHERE_LIST_FOR_NOTE,0))</f>
        <v>0</v>
      </c>
      <c r="K100" s="182">
        <f>INDEX(TEMPLATE_NOTE_POINT_FHD,B100,MATCH(TEMPLATE_SPHERE,TEMPLATE_SPHERE_LIST_FOR_NOTE,0))</f>
        <v>0</v>
      </c>
      <c r="L100" s="176" t="str">
        <f t="shared" si="3"/>
        <v/>
      </c>
      <c r="M100" s="176" t="str">
        <f t="shared" si="4"/>
        <v/>
      </c>
      <c r="N100" s="176" t="str">
        <f t="shared" si="5"/>
        <v/>
      </c>
      <c r="O100" s="183" t="s">
        <v>2237</v>
      </c>
      <c r="P100" s="183"/>
      <c r="Q100" s="183"/>
      <c r="R100" s="183"/>
      <c r="S100" s="183"/>
      <c r="T100" s="160" t="s">
        <v>2238</v>
      </c>
      <c r="U100" s="160"/>
      <c r="V100" s="160"/>
      <c r="W100" s="160"/>
      <c r="X100" s="160"/>
      <c r="Y100" s="189"/>
      <c r="Z100" s="158" t="s">
        <v>641</v>
      </c>
      <c r="AA100" s="178"/>
      <c r="AB100" s="158"/>
      <c r="AC100" s="158"/>
      <c r="AD100" s="158"/>
    </row>
    <row r="101" ht="27" customHeight="1" spans="1:30">
      <c r="A101" s="161"/>
      <c r="B101" s="165">
        <v>84</v>
      </c>
      <c r="C101" s="160"/>
      <c r="D101" s="171"/>
      <c r="E101" s="160"/>
      <c r="F101" s="160"/>
      <c r="G101" s="160"/>
      <c r="H101" s="173"/>
      <c r="I101" s="182">
        <f>INDEX(TEMPLATE_NUMBER_POINT_FHD,B101,MATCH(TEMPLATE_SPHERE,TEMPLATE_SPHERE_LIST_FOR_NOTE,0))</f>
        <v>0</v>
      </c>
      <c r="J101" s="182">
        <f>INDEX(TEMPLATE_DATA_POINT_FHD,B101,MATCH(TEMPLATE_SPHERE,TEMPLATE_SPHERE_LIST_FOR_NOTE,0))</f>
        <v>0</v>
      </c>
      <c r="K101" s="182">
        <f>INDEX(TEMPLATE_NOTE_POINT_FHD,B101,MATCH(TEMPLATE_SPHERE,TEMPLATE_SPHERE_LIST_FOR_NOTE,0))</f>
        <v>0</v>
      </c>
      <c r="L101" s="176" t="str">
        <f t="shared" si="3"/>
        <v/>
      </c>
      <c r="M101" s="176" t="str">
        <f t="shared" si="4"/>
        <v/>
      </c>
      <c r="N101" s="176" t="str">
        <f t="shared" si="5"/>
        <v/>
      </c>
      <c r="O101" s="183" t="s">
        <v>2239</v>
      </c>
      <c r="P101" s="183"/>
      <c r="Q101" s="183"/>
      <c r="R101" s="183"/>
      <c r="S101" s="183"/>
      <c r="T101" s="160" t="s">
        <v>2240</v>
      </c>
      <c r="U101" s="160"/>
      <c r="V101" s="160"/>
      <c r="W101" s="160"/>
      <c r="X101" s="160"/>
      <c r="Y101" s="189"/>
      <c r="Z101" s="158" t="s">
        <v>641</v>
      </c>
      <c r="AA101" s="178"/>
      <c r="AB101" s="158"/>
      <c r="AC101" s="158"/>
      <c r="AD101" s="158"/>
    </row>
    <row r="102" customHeight="1" spans="1:30">
      <c r="A102" s="161"/>
      <c r="B102" s="161"/>
      <c r="C102" s="160"/>
      <c r="D102" s="160"/>
      <c r="E102" s="160"/>
      <c r="F102" s="160"/>
      <c r="G102" s="160"/>
      <c r="H102" s="173"/>
      <c r="I102" s="173"/>
      <c r="J102" s="173"/>
      <c r="K102" s="173"/>
      <c r="L102" s="173"/>
      <c r="M102" s="160"/>
      <c r="N102" s="190"/>
      <c r="O102" s="183"/>
      <c r="P102" s="183"/>
      <c r="Q102" s="183"/>
      <c r="R102" s="183"/>
      <c r="S102" s="160"/>
      <c r="T102" s="160"/>
      <c r="U102" s="160"/>
      <c r="V102" s="160"/>
      <c r="W102" s="160"/>
      <c r="X102" s="160"/>
      <c r="Y102" s="189"/>
      <c r="Z102" s="158"/>
      <c r="AA102" s="178"/>
      <c r="AB102" s="158"/>
      <c r="AC102" s="158"/>
      <c r="AD102" s="158"/>
    </row>
    <row r="103" customHeight="1" spans="1:30">
      <c r="A103" s="161"/>
      <c r="B103" s="161"/>
      <c r="C103" s="160"/>
      <c r="D103" s="160"/>
      <c r="E103" s="160"/>
      <c r="F103" s="160"/>
      <c r="G103" s="160"/>
      <c r="H103" s="173"/>
      <c r="I103" s="173"/>
      <c r="J103" s="173"/>
      <c r="K103" s="173"/>
      <c r="L103" s="173"/>
      <c r="M103" s="160"/>
      <c r="N103" s="190"/>
      <c r="O103" s="183"/>
      <c r="P103" s="183"/>
      <c r="Q103" s="183"/>
      <c r="R103" s="183"/>
      <c r="S103" s="160"/>
      <c r="T103" s="160"/>
      <c r="U103" s="160"/>
      <c r="V103" s="160"/>
      <c r="W103" s="160"/>
      <c r="X103" s="160"/>
      <c r="Y103" s="189"/>
      <c r="Z103" s="158"/>
      <c r="AA103" s="178"/>
      <c r="AB103" s="158"/>
      <c r="AC103" s="158"/>
      <c r="AD103" s="158"/>
    </row>
    <row r="104" customHeight="1" spans="1:30">
      <c r="A104" s="161"/>
      <c r="B104" s="161"/>
      <c r="C104" s="160"/>
      <c r="D104" s="160"/>
      <c r="E104" s="160"/>
      <c r="F104" s="160"/>
      <c r="G104" s="160"/>
      <c r="H104" s="173"/>
      <c r="I104" s="173"/>
      <c r="J104" s="173"/>
      <c r="K104" s="173"/>
      <c r="L104" s="173"/>
      <c r="M104" s="160"/>
      <c r="N104" s="190"/>
      <c r="O104" s="183"/>
      <c r="P104" s="183"/>
      <c r="Q104" s="183"/>
      <c r="R104" s="183"/>
      <c r="S104" s="160"/>
      <c r="T104" s="160"/>
      <c r="U104" s="160"/>
      <c r="V104" s="160"/>
      <c r="W104" s="160"/>
      <c r="X104" s="160"/>
      <c r="Y104" s="189"/>
      <c r="Z104" s="158"/>
      <c r="AA104" s="178"/>
      <c r="AB104" s="158"/>
      <c r="AC104" s="158"/>
      <c r="AD104" s="158"/>
    </row>
    <row r="105" customHeight="1" spans="1:30">
      <c r="A105" s="161"/>
      <c r="B105" s="161"/>
      <c r="C105" s="160"/>
      <c r="D105" s="160"/>
      <c r="E105" s="160"/>
      <c r="F105" s="160"/>
      <c r="G105" s="160"/>
      <c r="H105" s="173"/>
      <c r="I105" s="173"/>
      <c r="J105" s="173"/>
      <c r="K105" s="173"/>
      <c r="L105" s="173"/>
      <c r="M105" s="160"/>
      <c r="N105" s="190"/>
      <c r="O105" s="183"/>
      <c r="P105" s="183"/>
      <c r="Q105" s="183"/>
      <c r="R105" s="183"/>
      <c r="S105" s="160"/>
      <c r="T105" s="160"/>
      <c r="U105" s="160"/>
      <c r="V105" s="160"/>
      <c r="W105" s="160"/>
      <c r="X105" s="160"/>
      <c r="Y105" s="189"/>
      <c r="Z105" s="158"/>
      <c r="AA105" s="178"/>
      <c r="AB105" s="158"/>
      <c r="AC105" s="158"/>
      <c r="AD105" s="158"/>
    </row>
    <row r="106" customHeight="1" spans="1:30">
      <c r="A106" s="161"/>
      <c r="B106" s="161"/>
      <c r="C106" s="160"/>
      <c r="D106" s="160"/>
      <c r="E106" s="160"/>
      <c r="F106" s="160"/>
      <c r="G106" s="160"/>
      <c r="H106" s="173"/>
      <c r="I106" s="173"/>
      <c r="J106" s="173"/>
      <c r="K106" s="173"/>
      <c r="L106" s="173"/>
      <c r="M106" s="160"/>
      <c r="N106" s="190"/>
      <c r="O106" s="183"/>
      <c r="P106" s="183"/>
      <c r="Q106" s="183"/>
      <c r="R106" s="183"/>
      <c r="S106" s="160"/>
      <c r="T106" s="160"/>
      <c r="U106" s="160"/>
      <c r="V106" s="160"/>
      <c r="W106" s="160"/>
      <c r="X106" s="160"/>
      <c r="Y106" s="189"/>
      <c r="Z106" s="158"/>
      <c r="AA106" s="178"/>
      <c r="AB106" s="158"/>
      <c r="AC106" s="158"/>
      <c r="AD106" s="158"/>
    </row>
    <row r="107" customHeight="1" spans="1:30">
      <c r="A107" s="161"/>
      <c r="B107" s="161"/>
      <c r="C107" s="160"/>
      <c r="D107" s="160"/>
      <c r="E107" s="160"/>
      <c r="F107" s="160"/>
      <c r="G107" s="160"/>
      <c r="H107" s="173"/>
      <c r="I107" s="173"/>
      <c r="J107" s="173"/>
      <c r="K107" s="173"/>
      <c r="L107" s="173"/>
      <c r="M107" s="160"/>
      <c r="N107" s="190"/>
      <c r="O107" s="183"/>
      <c r="P107" s="183"/>
      <c r="Q107" s="183"/>
      <c r="R107" s="183"/>
      <c r="S107" s="160"/>
      <c r="T107" s="160"/>
      <c r="U107" s="160"/>
      <c r="V107" s="160"/>
      <c r="W107" s="160"/>
      <c r="X107" s="160"/>
      <c r="Y107" s="189"/>
      <c r="Z107" s="158"/>
      <c r="AA107" s="178"/>
      <c r="AB107" s="158"/>
      <c r="AC107" s="158"/>
      <c r="AD107" s="158"/>
    </row>
    <row r="108" customHeight="1" spans="1:30">
      <c r="A108" s="161"/>
      <c r="B108" s="161"/>
      <c r="C108" s="160"/>
      <c r="D108" s="160"/>
      <c r="E108" s="160"/>
      <c r="F108" s="160"/>
      <c r="G108" s="160"/>
      <c r="H108" s="173"/>
      <c r="I108" s="173"/>
      <c r="J108" s="173"/>
      <c r="K108" s="173"/>
      <c r="L108" s="173"/>
      <c r="M108" s="160"/>
      <c r="N108" s="190"/>
      <c r="O108" s="183"/>
      <c r="P108" s="183"/>
      <c r="Q108" s="183"/>
      <c r="R108" s="183"/>
      <c r="S108" s="160"/>
      <c r="T108" s="160"/>
      <c r="U108" s="160"/>
      <c r="V108" s="160"/>
      <c r="W108" s="160"/>
      <c r="X108" s="160"/>
      <c r="Y108" s="189"/>
      <c r="Z108" s="158"/>
      <c r="AA108" s="178"/>
      <c r="AB108" s="158"/>
      <c r="AC108" s="158"/>
      <c r="AD108" s="158"/>
    </row>
    <row r="109" customHeight="1" spans="1:30">
      <c r="A109" s="161"/>
      <c r="B109" s="161"/>
      <c r="C109" s="160"/>
      <c r="D109" s="160"/>
      <c r="E109" s="160"/>
      <c r="F109" s="160"/>
      <c r="G109" s="160"/>
      <c r="H109" s="173"/>
      <c r="I109" s="173"/>
      <c r="J109" s="173"/>
      <c r="K109" s="173"/>
      <c r="L109" s="173"/>
      <c r="M109" s="160"/>
      <c r="N109" s="190"/>
      <c r="O109" s="183"/>
      <c r="P109" s="183"/>
      <c r="Q109" s="183"/>
      <c r="R109" s="183"/>
      <c r="S109" s="160"/>
      <c r="T109" s="160"/>
      <c r="U109" s="160"/>
      <c r="V109" s="160"/>
      <c r="W109" s="160"/>
      <c r="X109" s="160"/>
      <c r="Y109" s="189"/>
      <c r="Z109" s="158"/>
      <c r="AA109" s="178"/>
      <c r="AB109" s="158"/>
      <c r="AC109" s="158"/>
      <c r="AD109" s="158"/>
    </row>
    <row r="110" customHeight="1" spans="1:30">
      <c r="A110" s="161"/>
      <c r="B110" s="161"/>
      <c r="C110" s="160"/>
      <c r="D110" s="160"/>
      <c r="E110" s="160"/>
      <c r="F110" s="160"/>
      <c r="G110" s="160"/>
      <c r="H110" s="173"/>
      <c r="I110" s="173"/>
      <c r="J110" s="173"/>
      <c r="K110" s="173"/>
      <c r="L110" s="173"/>
      <c r="M110" s="160"/>
      <c r="N110" s="190"/>
      <c r="O110" s="183"/>
      <c r="P110" s="183"/>
      <c r="Q110" s="183"/>
      <c r="R110" s="183"/>
      <c r="S110" s="160"/>
      <c r="T110" s="160"/>
      <c r="U110" s="160"/>
      <c r="V110" s="160"/>
      <c r="W110" s="160"/>
      <c r="X110" s="160"/>
      <c r="Y110" s="189"/>
      <c r="Z110" s="158"/>
      <c r="AA110" s="178"/>
      <c r="AB110" s="158"/>
      <c r="AC110" s="158"/>
      <c r="AD110" s="158"/>
    </row>
    <row r="111" customHeight="1" spans="1:30">
      <c r="A111" s="161"/>
      <c r="B111" s="161"/>
      <c r="C111" s="160"/>
      <c r="D111" s="160"/>
      <c r="E111" s="160"/>
      <c r="F111" s="160"/>
      <c r="G111" s="160"/>
      <c r="H111" s="173"/>
      <c r="I111" s="173"/>
      <c r="J111" s="173"/>
      <c r="K111" s="173"/>
      <c r="L111" s="173"/>
      <c r="M111" s="160"/>
      <c r="N111" s="190"/>
      <c r="O111" s="183"/>
      <c r="P111" s="183"/>
      <c r="Q111" s="183"/>
      <c r="R111" s="183"/>
      <c r="S111" s="160"/>
      <c r="T111" s="160"/>
      <c r="U111" s="160"/>
      <c r="V111" s="160"/>
      <c r="W111" s="160"/>
      <c r="X111" s="160"/>
      <c r="Y111" s="189"/>
      <c r="Z111" s="158"/>
      <c r="AA111" s="178"/>
      <c r="AB111" s="158"/>
      <c r="AC111" s="158"/>
      <c r="AD111" s="158"/>
    </row>
    <row r="112" customHeight="1" spans="1:30">
      <c r="A112" s="161"/>
      <c r="B112" s="161"/>
      <c r="C112" s="160"/>
      <c r="D112" s="160"/>
      <c r="E112" s="160"/>
      <c r="F112" s="160"/>
      <c r="G112" s="160"/>
      <c r="H112" s="173"/>
      <c r="I112" s="173"/>
      <c r="J112" s="173"/>
      <c r="K112" s="173"/>
      <c r="L112" s="173"/>
      <c r="M112" s="160"/>
      <c r="N112" s="190"/>
      <c r="O112" s="183"/>
      <c r="P112" s="183"/>
      <c r="Q112" s="183"/>
      <c r="R112" s="183"/>
      <c r="S112" s="160"/>
      <c r="T112" s="160"/>
      <c r="U112" s="160"/>
      <c r="V112" s="160"/>
      <c r="W112" s="160"/>
      <c r="X112" s="160"/>
      <c r="Y112" s="189"/>
      <c r="Z112" s="158"/>
      <c r="AA112" s="178"/>
      <c r="AB112" s="158"/>
      <c r="AC112" s="158"/>
      <c r="AD112" s="158"/>
    </row>
    <row r="113" customHeight="1" spans="1:30">
      <c r="A113" s="161"/>
      <c r="B113" s="161"/>
      <c r="C113" s="160"/>
      <c r="D113" s="160"/>
      <c r="E113" s="160"/>
      <c r="F113" s="160"/>
      <c r="G113" s="160"/>
      <c r="H113" s="173"/>
      <c r="I113" s="173"/>
      <c r="J113" s="173"/>
      <c r="K113" s="173"/>
      <c r="L113" s="173"/>
      <c r="M113" s="160"/>
      <c r="N113" s="190"/>
      <c r="O113" s="183"/>
      <c r="P113" s="183"/>
      <c r="Q113" s="183"/>
      <c r="R113" s="183"/>
      <c r="S113" s="160"/>
      <c r="T113" s="160"/>
      <c r="U113" s="160"/>
      <c r="V113" s="160"/>
      <c r="W113" s="160"/>
      <c r="X113" s="160"/>
      <c r="Y113" s="189"/>
      <c r="Z113" s="158"/>
      <c r="AA113" s="178"/>
      <c r="AB113" s="158"/>
      <c r="AC113" s="158"/>
      <c r="AD113" s="158"/>
    </row>
    <row r="114" customHeight="1" spans="1:30">
      <c r="A114" s="161"/>
      <c r="B114" s="161"/>
      <c r="C114" s="160"/>
      <c r="D114" s="160"/>
      <c r="E114" s="160"/>
      <c r="F114" s="160"/>
      <c r="G114" s="160"/>
      <c r="H114" s="173"/>
      <c r="I114" s="173"/>
      <c r="J114" s="173"/>
      <c r="K114" s="173"/>
      <c r="L114" s="173"/>
      <c r="M114" s="160"/>
      <c r="N114" s="190"/>
      <c r="O114" s="183"/>
      <c r="P114" s="183"/>
      <c r="Q114" s="183"/>
      <c r="R114" s="183"/>
      <c r="S114" s="160"/>
      <c r="T114" s="160"/>
      <c r="U114" s="160"/>
      <c r="V114" s="160"/>
      <c r="W114" s="160"/>
      <c r="X114" s="160"/>
      <c r="Y114" s="189"/>
      <c r="Z114" s="158"/>
      <c r="AA114" s="178"/>
      <c r="AB114" s="158"/>
      <c r="AC114" s="158"/>
      <c r="AD114" s="158"/>
    </row>
    <row r="115" customHeight="1" spans="1:30">
      <c r="A115" s="161"/>
      <c r="B115" s="161"/>
      <c r="C115" s="160"/>
      <c r="D115" s="160"/>
      <c r="E115" s="160"/>
      <c r="F115" s="160"/>
      <c r="G115" s="160"/>
      <c r="H115" s="173"/>
      <c r="I115" s="173"/>
      <c r="J115" s="173"/>
      <c r="K115" s="173"/>
      <c r="L115" s="173"/>
      <c r="M115" s="160"/>
      <c r="N115" s="190"/>
      <c r="O115" s="183"/>
      <c r="P115" s="183"/>
      <c r="Q115" s="183"/>
      <c r="R115" s="183"/>
      <c r="S115" s="160"/>
      <c r="T115" s="160"/>
      <c r="U115" s="160"/>
      <c r="V115" s="160"/>
      <c r="W115" s="160"/>
      <c r="X115" s="160"/>
      <c r="Y115" s="189"/>
      <c r="Z115" s="158"/>
      <c r="AA115" s="178"/>
      <c r="AB115" s="158"/>
      <c r="AC115" s="158"/>
      <c r="AD115" s="158"/>
    </row>
    <row r="116" customHeight="1" spans="1:30">
      <c r="A116" s="161"/>
      <c r="B116" s="161"/>
      <c r="C116" s="160"/>
      <c r="D116" s="160"/>
      <c r="E116" s="160"/>
      <c r="F116" s="160"/>
      <c r="G116" s="160"/>
      <c r="H116" s="173"/>
      <c r="I116" s="173"/>
      <c r="J116" s="173"/>
      <c r="K116" s="173"/>
      <c r="L116" s="173"/>
      <c r="M116" s="160"/>
      <c r="N116" s="190"/>
      <c r="O116" s="183"/>
      <c r="P116" s="183"/>
      <c r="Q116" s="183"/>
      <c r="R116" s="183"/>
      <c r="S116" s="160"/>
      <c r="T116" s="160"/>
      <c r="U116" s="160"/>
      <c r="V116" s="160"/>
      <c r="W116" s="160"/>
      <c r="X116" s="160"/>
      <c r="Y116" s="189"/>
      <c r="Z116" s="158"/>
      <c r="AA116" s="178"/>
      <c r="AB116" s="158"/>
      <c r="AC116" s="158"/>
      <c r="AD116" s="158"/>
    </row>
    <row r="117" customHeight="1" spans="1:30">
      <c r="A117" s="161"/>
      <c r="B117" s="161"/>
      <c r="C117" s="160"/>
      <c r="D117" s="160"/>
      <c r="E117" s="160"/>
      <c r="F117" s="160"/>
      <c r="G117" s="160"/>
      <c r="H117" s="173"/>
      <c r="I117" s="173"/>
      <c r="J117" s="173"/>
      <c r="K117" s="173"/>
      <c r="L117" s="173"/>
      <c r="M117" s="160"/>
      <c r="N117" s="190"/>
      <c r="O117" s="183"/>
      <c r="P117" s="183"/>
      <c r="Q117" s="183"/>
      <c r="R117" s="183"/>
      <c r="S117" s="160"/>
      <c r="T117" s="160"/>
      <c r="U117" s="160"/>
      <c r="V117" s="160"/>
      <c r="W117" s="160"/>
      <c r="X117" s="160"/>
      <c r="Y117" s="189"/>
      <c r="Z117" s="158"/>
      <c r="AA117" s="178"/>
      <c r="AB117" s="158"/>
      <c r="AC117" s="158"/>
      <c r="AD117" s="158"/>
    </row>
    <row r="118" customHeight="1" spans="1:30">
      <c r="A118" s="161"/>
      <c r="B118" s="161"/>
      <c r="C118" s="160"/>
      <c r="D118" s="160"/>
      <c r="E118" s="160"/>
      <c r="F118" s="160"/>
      <c r="G118" s="160"/>
      <c r="H118" s="173"/>
      <c r="I118" s="173"/>
      <c r="J118" s="173"/>
      <c r="K118" s="173"/>
      <c r="L118" s="173"/>
      <c r="M118" s="160"/>
      <c r="N118" s="190"/>
      <c r="O118" s="183"/>
      <c r="P118" s="183"/>
      <c r="Q118" s="183"/>
      <c r="R118" s="183"/>
      <c r="S118" s="160"/>
      <c r="T118" s="160"/>
      <c r="U118" s="160"/>
      <c r="V118" s="160"/>
      <c r="W118" s="160"/>
      <c r="X118" s="160"/>
      <c r="Y118" s="189"/>
      <c r="Z118" s="158"/>
      <c r="AA118" s="178"/>
      <c r="AB118" s="158"/>
      <c r="AC118" s="158"/>
      <c r="AD118" s="158"/>
    </row>
    <row r="119" customHeight="1" spans="1:30">
      <c r="A119" s="161"/>
      <c r="B119" s="161"/>
      <c r="C119" s="160"/>
      <c r="D119" s="160"/>
      <c r="E119" s="160"/>
      <c r="F119" s="160"/>
      <c r="G119" s="160"/>
      <c r="H119" s="173"/>
      <c r="I119" s="173"/>
      <c r="J119" s="173"/>
      <c r="K119" s="173"/>
      <c r="L119" s="173"/>
      <c r="M119" s="160"/>
      <c r="N119" s="190"/>
      <c r="O119" s="183"/>
      <c r="P119" s="183"/>
      <c r="Q119" s="183"/>
      <c r="R119" s="183"/>
      <c r="S119" s="160"/>
      <c r="T119" s="160"/>
      <c r="U119" s="160"/>
      <c r="V119" s="160"/>
      <c r="W119" s="160"/>
      <c r="X119" s="160"/>
      <c r="Y119" s="189"/>
      <c r="Z119" s="158"/>
      <c r="AA119" s="178"/>
      <c r="AB119" s="158"/>
      <c r="AC119" s="158"/>
      <c r="AD119" s="158"/>
    </row>
    <row r="120" customHeight="1" spans="1:30">
      <c r="A120" s="161"/>
      <c r="B120" s="161"/>
      <c r="C120" s="160"/>
      <c r="D120" s="160"/>
      <c r="E120" s="160"/>
      <c r="F120" s="160"/>
      <c r="G120" s="160"/>
      <c r="H120" s="173"/>
      <c r="I120" s="173"/>
      <c r="J120" s="173"/>
      <c r="K120" s="173"/>
      <c r="L120" s="173"/>
      <c r="M120" s="160"/>
      <c r="N120" s="190"/>
      <c r="O120" s="183"/>
      <c r="P120" s="183"/>
      <c r="Q120" s="183"/>
      <c r="R120" s="183"/>
      <c r="S120" s="160"/>
      <c r="T120" s="160"/>
      <c r="U120" s="160"/>
      <c r="V120" s="160"/>
      <c r="W120" s="160"/>
      <c r="X120" s="160"/>
      <c r="Y120" s="189"/>
      <c r="Z120" s="158"/>
      <c r="AA120" s="178"/>
      <c r="AB120" s="158"/>
      <c r="AC120" s="158"/>
      <c r="AD120" s="158"/>
    </row>
    <row r="121" customHeight="1" spans="1:30">
      <c r="A121" s="161"/>
      <c r="B121" s="161"/>
      <c r="C121" s="160"/>
      <c r="D121" s="160"/>
      <c r="E121" s="160"/>
      <c r="F121" s="160"/>
      <c r="G121" s="160"/>
      <c r="H121" s="173"/>
      <c r="I121" s="173"/>
      <c r="J121" s="173"/>
      <c r="K121" s="173"/>
      <c r="L121" s="173"/>
      <c r="M121" s="160"/>
      <c r="N121" s="190"/>
      <c r="O121" s="183"/>
      <c r="P121" s="183"/>
      <c r="Q121" s="183"/>
      <c r="R121" s="183"/>
      <c r="S121" s="160"/>
      <c r="T121" s="160"/>
      <c r="U121" s="160"/>
      <c r="V121" s="160"/>
      <c r="W121" s="160"/>
      <c r="X121" s="160"/>
      <c r="Y121" s="189"/>
      <c r="Z121" s="158"/>
      <c r="AA121" s="178"/>
      <c r="AB121" s="158"/>
      <c r="AC121" s="158"/>
      <c r="AD121" s="158"/>
    </row>
    <row r="122" customHeight="1" spans="1:30">
      <c r="A122" s="161"/>
      <c r="B122" s="161"/>
      <c r="C122" s="160"/>
      <c r="D122" s="160"/>
      <c r="E122" s="160"/>
      <c r="F122" s="160"/>
      <c r="G122" s="160"/>
      <c r="H122" s="173"/>
      <c r="I122" s="173"/>
      <c r="J122" s="173"/>
      <c r="K122" s="173"/>
      <c r="L122" s="173"/>
      <c r="M122" s="160"/>
      <c r="N122" s="190"/>
      <c r="O122" s="183"/>
      <c r="P122" s="183"/>
      <c r="Q122" s="183"/>
      <c r="R122" s="183"/>
      <c r="S122" s="160"/>
      <c r="T122" s="160"/>
      <c r="U122" s="160"/>
      <c r="V122" s="160"/>
      <c r="W122" s="160"/>
      <c r="X122" s="160"/>
      <c r="Y122" s="189"/>
      <c r="Z122" s="158"/>
      <c r="AA122" s="178"/>
      <c r="AB122" s="158"/>
      <c r="AC122" s="158"/>
      <c r="AD122" s="158"/>
    </row>
    <row r="123" customHeight="1" spans="1:30">
      <c r="A123" s="161"/>
      <c r="B123" s="161"/>
      <c r="C123" s="160"/>
      <c r="D123" s="160"/>
      <c r="E123" s="160"/>
      <c r="F123" s="160"/>
      <c r="G123" s="160"/>
      <c r="H123" s="173"/>
      <c r="I123" s="173"/>
      <c r="J123" s="173"/>
      <c r="K123" s="173"/>
      <c r="L123" s="173"/>
      <c r="M123" s="160"/>
      <c r="N123" s="190"/>
      <c r="O123" s="183"/>
      <c r="P123" s="183"/>
      <c r="Q123" s="183"/>
      <c r="R123" s="183"/>
      <c r="S123" s="160"/>
      <c r="T123" s="160"/>
      <c r="U123" s="160"/>
      <c r="V123" s="160"/>
      <c r="W123" s="160"/>
      <c r="X123" s="160"/>
      <c r="Y123" s="189"/>
      <c r="Z123" s="158"/>
      <c r="AA123" s="178"/>
      <c r="AB123" s="158"/>
      <c r="AC123" s="158"/>
      <c r="AD123" s="158"/>
    </row>
    <row r="124" customHeight="1" spans="1:30">
      <c r="A124" s="161"/>
      <c r="B124" s="161"/>
      <c r="C124" s="160"/>
      <c r="D124" s="160"/>
      <c r="E124" s="160"/>
      <c r="F124" s="160"/>
      <c r="G124" s="160"/>
      <c r="H124" s="173"/>
      <c r="I124" s="173"/>
      <c r="J124" s="173"/>
      <c r="K124" s="173"/>
      <c r="L124" s="173"/>
      <c r="M124" s="160"/>
      <c r="N124" s="190"/>
      <c r="O124" s="183"/>
      <c r="P124" s="183"/>
      <c r="Q124" s="183"/>
      <c r="R124" s="183"/>
      <c r="S124" s="160"/>
      <c r="T124" s="160"/>
      <c r="U124" s="160"/>
      <c r="V124" s="160"/>
      <c r="W124" s="160"/>
      <c r="X124" s="160"/>
      <c r="Y124" s="189"/>
      <c r="Z124" s="158"/>
      <c r="AA124" s="178"/>
      <c r="AB124" s="158"/>
      <c r="AC124" s="158"/>
      <c r="AD124" s="158"/>
    </row>
    <row r="125" customHeight="1" spans="1:30">
      <c r="A125" s="161"/>
      <c r="B125" s="161"/>
      <c r="C125" s="160"/>
      <c r="D125" s="160"/>
      <c r="E125" s="160"/>
      <c r="F125" s="160"/>
      <c r="G125" s="160"/>
      <c r="H125" s="173"/>
      <c r="I125" s="173"/>
      <c r="J125" s="173"/>
      <c r="K125" s="173"/>
      <c r="L125" s="173"/>
      <c r="M125" s="160"/>
      <c r="N125" s="190"/>
      <c r="O125" s="183"/>
      <c r="P125" s="183"/>
      <c r="Q125" s="183"/>
      <c r="R125" s="183"/>
      <c r="S125" s="160"/>
      <c r="T125" s="160"/>
      <c r="U125" s="160"/>
      <c r="V125" s="160"/>
      <c r="W125" s="160"/>
      <c r="X125" s="160"/>
      <c r="Y125" s="189"/>
      <c r="Z125" s="158"/>
      <c r="AA125" s="178"/>
      <c r="AB125" s="158"/>
      <c r="AC125" s="158"/>
      <c r="AD125" s="158"/>
    </row>
    <row r="126" customHeight="1" spans="1:30">
      <c r="A126" s="161"/>
      <c r="B126" s="161"/>
      <c r="C126" s="160"/>
      <c r="D126" s="160"/>
      <c r="E126" s="160"/>
      <c r="F126" s="160"/>
      <c r="G126" s="160"/>
      <c r="H126" s="173"/>
      <c r="I126" s="173"/>
      <c r="J126" s="173"/>
      <c r="K126" s="173"/>
      <c r="L126" s="173"/>
      <c r="M126" s="160"/>
      <c r="N126" s="190"/>
      <c r="O126" s="183"/>
      <c r="P126" s="183"/>
      <c r="Q126" s="183"/>
      <c r="R126" s="183"/>
      <c r="S126" s="160"/>
      <c r="T126" s="160"/>
      <c r="U126" s="160"/>
      <c r="V126" s="160"/>
      <c r="W126" s="160"/>
      <c r="X126" s="160"/>
      <c r="Y126" s="189"/>
      <c r="Z126" s="158"/>
      <c r="AA126" s="178"/>
      <c r="AB126" s="158"/>
      <c r="AC126" s="158"/>
      <c r="AD126" s="158"/>
    </row>
    <row r="127" customHeight="1" spans="1:30">
      <c r="A127" s="161"/>
      <c r="B127" s="161"/>
      <c r="C127" s="160"/>
      <c r="D127" s="160"/>
      <c r="E127" s="160"/>
      <c r="F127" s="160"/>
      <c r="G127" s="160"/>
      <c r="H127" s="173"/>
      <c r="I127" s="173"/>
      <c r="J127" s="173"/>
      <c r="K127" s="173"/>
      <c r="L127" s="173"/>
      <c r="M127" s="160"/>
      <c r="N127" s="190"/>
      <c r="O127" s="183"/>
      <c r="P127" s="183"/>
      <c r="Q127" s="183"/>
      <c r="R127" s="183"/>
      <c r="S127" s="160"/>
      <c r="T127" s="160"/>
      <c r="U127" s="160"/>
      <c r="V127" s="160"/>
      <c r="W127" s="160"/>
      <c r="X127" s="160"/>
      <c r="Y127" s="189"/>
      <c r="Z127" s="158"/>
      <c r="AA127" s="178"/>
      <c r="AB127" s="158"/>
      <c r="AC127" s="158"/>
      <c r="AD127" s="158"/>
    </row>
    <row r="128" customHeight="1" spans="1:30">
      <c r="A128" s="161"/>
      <c r="B128" s="161"/>
      <c r="C128" s="160"/>
      <c r="D128" s="160"/>
      <c r="E128" s="160"/>
      <c r="F128" s="160"/>
      <c r="G128" s="160"/>
      <c r="H128" s="173"/>
      <c r="I128" s="173"/>
      <c r="J128" s="173"/>
      <c r="K128" s="173"/>
      <c r="L128" s="173"/>
      <c r="M128" s="160"/>
      <c r="N128" s="190"/>
      <c r="O128" s="183"/>
      <c r="P128" s="183"/>
      <c r="Q128" s="183"/>
      <c r="R128" s="183"/>
      <c r="S128" s="160"/>
      <c r="T128" s="160"/>
      <c r="U128" s="160"/>
      <c r="V128" s="160"/>
      <c r="W128" s="160"/>
      <c r="X128" s="160"/>
      <c r="Y128" s="189"/>
      <c r="Z128" s="158"/>
      <c r="AA128" s="178"/>
      <c r="AB128" s="158"/>
      <c r="AC128" s="158"/>
      <c r="AD128" s="158"/>
    </row>
    <row r="129" customHeight="1" spans="1:30">
      <c r="A129" s="161"/>
      <c r="B129" s="161"/>
      <c r="C129" s="160"/>
      <c r="D129" s="160"/>
      <c r="E129" s="160"/>
      <c r="F129" s="160"/>
      <c r="G129" s="160"/>
      <c r="H129" s="173"/>
      <c r="I129" s="173"/>
      <c r="J129" s="173"/>
      <c r="K129" s="173"/>
      <c r="L129" s="173"/>
      <c r="M129" s="160"/>
      <c r="N129" s="190"/>
      <c r="O129" s="183"/>
      <c r="P129" s="183"/>
      <c r="Q129" s="183"/>
      <c r="R129" s="183"/>
      <c r="S129" s="160"/>
      <c r="T129" s="160"/>
      <c r="U129" s="160"/>
      <c r="V129" s="160"/>
      <c r="W129" s="160"/>
      <c r="X129" s="160"/>
      <c r="Y129" s="189"/>
      <c r="Z129" s="158"/>
      <c r="AA129" s="178"/>
      <c r="AB129" s="158"/>
      <c r="AC129" s="158"/>
      <c r="AD129" s="158"/>
    </row>
    <row r="130" customHeight="1" spans="1:30">
      <c r="A130" s="161"/>
      <c r="B130" s="161"/>
      <c r="C130" s="160"/>
      <c r="D130" s="160"/>
      <c r="E130" s="160"/>
      <c r="F130" s="160"/>
      <c r="G130" s="160"/>
      <c r="H130" s="173"/>
      <c r="I130" s="173"/>
      <c r="J130" s="173"/>
      <c r="K130" s="173"/>
      <c r="L130" s="173"/>
      <c r="M130" s="160"/>
      <c r="N130" s="190"/>
      <c r="O130" s="191"/>
      <c r="P130" s="191"/>
      <c r="Q130" s="191"/>
      <c r="R130" s="191"/>
      <c r="S130" s="160"/>
      <c r="T130" s="160"/>
      <c r="U130" s="160"/>
      <c r="V130" s="160"/>
      <c r="W130" s="160"/>
      <c r="X130" s="160"/>
      <c r="Y130" s="189"/>
      <c r="Z130" s="158"/>
      <c r="AA130" s="178"/>
      <c r="AB130" s="158"/>
      <c r="AC130" s="158"/>
      <c r="AD130" s="158"/>
    </row>
    <row r="131" customHeight="1" spans="1:30">
      <c r="A131" s="161"/>
      <c r="B131" s="161"/>
      <c r="C131" s="160"/>
      <c r="D131" s="160"/>
      <c r="E131" s="160"/>
      <c r="F131" s="160"/>
      <c r="G131" s="160"/>
      <c r="H131" s="173"/>
      <c r="I131" s="173"/>
      <c r="J131" s="173"/>
      <c r="K131" s="173"/>
      <c r="L131" s="173"/>
      <c r="M131" s="160"/>
      <c r="N131" s="190"/>
      <c r="O131" s="192"/>
      <c r="P131" s="192"/>
      <c r="Q131" s="192"/>
      <c r="R131" s="192"/>
      <c r="S131" s="160"/>
      <c r="T131" s="160"/>
      <c r="U131" s="160"/>
      <c r="V131" s="160"/>
      <c r="W131" s="160"/>
      <c r="X131" s="160"/>
      <c r="Y131" s="189"/>
      <c r="Z131" s="158"/>
      <c r="AA131" s="178"/>
      <c r="AB131" s="158"/>
      <c r="AC131" s="158"/>
      <c r="AD131" s="158"/>
    </row>
    <row r="132" customHeight="1" spans="1:30">
      <c r="A132" s="161"/>
      <c r="B132" s="161"/>
      <c r="C132" s="160"/>
      <c r="D132" s="160"/>
      <c r="E132" s="160"/>
      <c r="F132" s="160"/>
      <c r="G132" s="160"/>
      <c r="H132" s="173"/>
      <c r="I132" s="173"/>
      <c r="J132" s="173"/>
      <c r="K132" s="173"/>
      <c r="L132" s="173"/>
      <c r="M132" s="160"/>
      <c r="N132" s="190"/>
      <c r="O132" s="191"/>
      <c r="P132" s="191"/>
      <c r="Q132" s="191"/>
      <c r="R132" s="191"/>
      <c r="S132" s="160"/>
      <c r="T132" s="160"/>
      <c r="U132" s="160"/>
      <c r="V132" s="160"/>
      <c r="W132" s="160"/>
      <c r="X132" s="160"/>
      <c r="Y132" s="189"/>
      <c r="Z132" s="158"/>
      <c r="AA132" s="178"/>
      <c r="AB132" s="158"/>
      <c r="AC132" s="158"/>
      <c r="AD132" s="158"/>
    </row>
    <row r="133" customHeight="1" spans="1:30">
      <c r="A133" s="161"/>
      <c r="B133" s="161"/>
      <c r="C133" s="160"/>
      <c r="D133" s="160"/>
      <c r="E133" s="160"/>
      <c r="F133" s="160"/>
      <c r="G133" s="160"/>
      <c r="H133" s="173"/>
      <c r="I133" s="173"/>
      <c r="J133" s="173"/>
      <c r="K133" s="173"/>
      <c r="L133" s="173"/>
      <c r="M133" s="160"/>
      <c r="N133" s="190"/>
      <c r="O133" s="192"/>
      <c r="P133" s="192"/>
      <c r="Q133" s="192"/>
      <c r="R133" s="192"/>
      <c r="S133" s="160"/>
      <c r="T133" s="160"/>
      <c r="U133" s="160"/>
      <c r="V133" s="160"/>
      <c r="W133" s="160"/>
      <c r="X133" s="160"/>
      <c r="Y133" s="189"/>
      <c r="Z133" s="158"/>
      <c r="AA133" s="178"/>
      <c r="AB133" s="158"/>
      <c r="AC133" s="158"/>
      <c r="AD133" s="158"/>
    </row>
    <row r="134" customHeight="1" spans="1:30">
      <c r="A134" s="161"/>
      <c r="B134" s="161"/>
      <c r="C134" s="160"/>
      <c r="D134" s="160"/>
      <c r="E134" s="160"/>
      <c r="F134" s="160"/>
      <c r="G134" s="160"/>
      <c r="H134" s="173"/>
      <c r="I134" s="173"/>
      <c r="J134" s="173"/>
      <c r="K134" s="173"/>
      <c r="L134" s="173"/>
      <c r="M134" s="160"/>
      <c r="N134" s="190"/>
      <c r="O134" s="183"/>
      <c r="P134" s="183"/>
      <c r="Q134" s="183"/>
      <c r="R134" s="183"/>
      <c r="S134" s="160"/>
      <c r="T134" s="160"/>
      <c r="U134" s="160"/>
      <c r="V134" s="160"/>
      <c r="W134" s="160"/>
      <c r="X134" s="160"/>
      <c r="Y134" s="189"/>
      <c r="Z134" s="158"/>
      <c r="AA134" s="178"/>
      <c r="AB134" s="158"/>
      <c r="AC134" s="158"/>
      <c r="AD134" s="158"/>
    </row>
    <row r="135" customHeight="1" spans="1:30">
      <c r="A135" s="161"/>
      <c r="B135" s="161"/>
      <c r="C135" s="160"/>
      <c r="D135" s="160"/>
      <c r="E135" s="160"/>
      <c r="F135" s="160"/>
      <c r="G135" s="160"/>
      <c r="H135" s="173"/>
      <c r="I135" s="173"/>
      <c r="J135" s="173"/>
      <c r="K135" s="173"/>
      <c r="L135" s="173"/>
      <c r="M135" s="160"/>
      <c r="N135" s="190"/>
      <c r="O135" s="183"/>
      <c r="P135" s="183"/>
      <c r="Q135" s="183"/>
      <c r="R135" s="183"/>
      <c r="S135" s="160"/>
      <c r="T135" s="160"/>
      <c r="U135" s="160"/>
      <c r="V135" s="160"/>
      <c r="W135" s="160"/>
      <c r="X135" s="160"/>
      <c r="Y135" s="189"/>
      <c r="Z135" s="158"/>
      <c r="AA135" s="178"/>
      <c r="AB135" s="158"/>
      <c r="AC135" s="158"/>
      <c r="AD135" s="158"/>
    </row>
    <row r="136" customHeight="1" spans="1:30">
      <c r="A136" s="161"/>
      <c r="B136" s="161"/>
      <c r="C136" s="160"/>
      <c r="D136" s="160"/>
      <c r="E136" s="160"/>
      <c r="F136" s="160"/>
      <c r="G136" s="160"/>
      <c r="H136" s="173"/>
      <c r="I136" s="173"/>
      <c r="J136" s="173"/>
      <c r="K136" s="173"/>
      <c r="L136" s="173"/>
      <c r="M136" s="160"/>
      <c r="N136" s="190"/>
      <c r="O136" s="183"/>
      <c r="P136" s="183"/>
      <c r="Q136" s="183"/>
      <c r="R136" s="183"/>
      <c r="S136" s="160"/>
      <c r="T136" s="160"/>
      <c r="U136" s="160"/>
      <c r="V136" s="160"/>
      <c r="W136" s="160"/>
      <c r="X136" s="160"/>
      <c r="Y136" s="189"/>
      <c r="Z136" s="158"/>
      <c r="AA136" s="178"/>
      <c r="AB136" s="158"/>
      <c r="AC136" s="158"/>
      <c r="AD136" s="158"/>
    </row>
    <row r="137" customHeight="1" spans="1:30">
      <c r="A137" s="161"/>
      <c r="B137" s="161"/>
      <c r="C137" s="160"/>
      <c r="D137" s="160"/>
      <c r="E137" s="160"/>
      <c r="F137" s="160"/>
      <c r="G137" s="160"/>
      <c r="H137" s="173"/>
      <c r="I137" s="173"/>
      <c r="J137" s="173"/>
      <c r="K137" s="173"/>
      <c r="L137" s="173"/>
      <c r="M137" s="160"/>
      <c r="N137" s="190"/>
      <c r="O137" s="193"/>
      <c r="P137" s="193"/>
      <c r="Q137" s="193"/>
      <c r="R137" s="193"/>
      <c r="S137" s="160"/>
      <c r="T137" s="160"/>
      <c r="U137" s="160"/>
      <c r="V137" s="160"/>
      <c r="W137" s="160"/>
      <c r="X137" s="160"/>
      <c r="Y137" s="189"/>
      <c r="Z137" s="158"/>
      <c r="AA137" s="178"/>
      <c r="AB137" s="158"/>
      <c r="AC137" s="158"/>
      <c r="AD137" s="158"/>
    </row>
    <row r="138" customHeight="1" spans="1:30">
      <c r="A138" s="161"/>
      <c r="B138" s="161"/>
      <c r="C138" s="160"/>
      <c r="D138" s="160"/>
      <c r="E138" s="160"/>
      <c r="F138" s="160"/>
      <c r="G138" s="160"/>
      <c r="H138" s="173"/>
      <c r="I138" s="173"/>
      <c r="J138" s="173"/>
      <c r="K138" s="173"/>
      <c r="L138" s="173"/>
      <c r="M138" s="160"/>
      <c r="N138" s="190"/>
      <c r="O138" s="174"/>
      <c r="P138" s="174"/>
      <c r="Q138" s="174"/>
      <c r="R138" s="174"/>
      <c r="S138" s="160"/>
      <c r="T138" s="160"/>
      <c r="U138" s="160"/>
      <c r="V138" s="160"/>
      <c r="W138" s="160"/>
      <c r="X138" s="160"/>
      <c r="Y138" s="189"/>
      <c r="Z138" s="158"/>
      <c r="AA138" s="178"/>
      <c r="AB138" s="158"/>
      <c r="AC138" s="158"/>
      <c r="AD138" s="158"/>
    </row>
    <row r="139" customHeight="1" spans="1:30">
      <c r="A139" s="161"/>
      <c r="B139" s="161"/>
      <c r="C139" s="160"/>
      <c r="D139" s="160"/>
      <c r="E139" s="160"/>
      <c r="F139" s="160"/>
      <c r="G139" s="160"/>
      <c r="H139" s="173"/>
      <c r="I139" s="173"/>
      <c r="J139" s="173"/>
      <c r="K139" s="173"/>
      <c r="L139" s="173"/>
      <c r="M139" s="160"/>
      <c r="N139" s="190"/>
      <c r="O139" s="160"/>
      <c r="P139" s="160"/>
      <c r="Q139" s="160"/>
      <c r="R139" s="160"/>
      <c r="S139" s="160"/>
      <c r="T139" s="160"/>
      <c r="U139" s="160"/>
      <c r="V139" s="160"/>
      <c r="W139" s="160"/>
      <c r="X139" s="160"/>
      <c r="Y139" s="189"/>
      <c r="Z139" s="158"/>
      <c r="AA139" s="178"/>
      <c r="AB139" s="158"/>
      <c r="AC139" s="158"/>
      <c r="AD139" s="158"/>
    </row>
    <row r="140" customHeight="1" spans="1:30">
      <c r="A140" s="161"/>
      <c r="B140" s="161"/>
      <c r="C140" s="160"/>
      <c r="D140" s="160"/>
      <c r="E140" s="160"/>
      <c r="F140" s="160"/>
      <c r="G140" s="160"/>
      <c r="H140" s="173"/>
      <c r="I140" s="173"/>
      <c r="J140" s="173"/>
      <c r="K140" s="173"/>
      <c r="L140" s="173"/>
      <c r="M140" s="160"/>
      <c r="N140" s="190"/>
      <c r="O140" s="160"/>
      <c r="P140" s="160"/>
      <c r="Q140" s="160"/>
      <c r="R140" s="160"/>
      <c r="S140" s="160"/>
      <c r="T140" s="160"/>
      <c r="U140" s="160"/>
      <c r="V140" s="160"/>
      <c r="W140" s="160"/>
      <c r="X140" s="160"/>
      <c r="Y140" s="189"/>
      <c r="Z140" s="158"/>
      <c r="AA140" s="178"/>
      <c r="AB140" s="158"/>
      <c r="AC140" s="158"/>
      <c r="AD140" s="158"/>
    </row>
    <row r="141" customHeight="1" spans="1:30">
      <c r="A141" s="161"/>
      <c r="B141" s="161"/>
      <c r="C141" s="160"/>
      <c r="D141" s="160"/>
      <c r="E141" s="160"/>
      <c r="F141" s="160"/>
      <c r="G141" s="160"/>
      <c r="H141" s="173"/>
      <c r="I141" s="173"/>
      <c r="J141" s="173"/>
      <c r="K141" s="173"/>
      <c r="L141" s="173"/>
      <c r="M141" s="160"/>
      <c r="N141" s="190"/>
      <c r="O141" s="160"/>
      <c r="P141" s="160"/>
      <c r="Q141" s="160"/>
      <c r="R141" s="160"/>
      <c r="S141" s="160"/>
      <c r="T141" s="160"/>
      <c r="U141" s="160"/>
      <c r="V141" s="160"/>
      <c r="W141" s="160"/>
      <c r="X141" s="160"/>
      <c r="Y141" s="189"/>
      <c r="Z141" s="158"/>
      <c r="AA141" s="178"/>
      <c r="AB141" s="158"/>
      <c r="AC141" s="158"/>
      <c r="AD141" s="158"/>
    </row>
    <row r="142" customHeight="1" spans="1:30">
      <c r="A142" s="161"/>
      <c r="B142" s="161"/>
      <c r="C142" s="160"/>
      <c r="D142" s="160"/>
      <c r="E142" s="160"/>
      <c r="F142" s="160"/>
      <c r="G142" s="160"/>
      <c r="H142" s="173"/>
      <c r="I142" s="173"/>
      <c r="J142" s="173"/>
      <c r="K142" s="173"/>
      <c r="L142" s="173"/>
      <c r="M142" s="160"/>
      <c r="N142" s="190"/>
      <c r="O142" s="160"/>
      <c r="P142" s="160"/>
      <c r="Q142" s="160"/>
      <c r="R142" s="160"/>
      <c r="S142" s="160"/>
      <c r="T142" s="160"/>
      <c r="U142" s="160"/>
      <c r="V142" s="160"/>
      <c r="W142" s="160"/>
      <c r="X142" s="160"/>
      <c r="Y142" s="189"/>
      <c r="Z142" s="158"/>
      <c r="AA142" s="178"/>
      <c r="AB142" s="158"/>
      <c r="AC142" s="158"/>
      <c r="AD142" s="158"/>
    </row>
    <row r="143" customHeight="1" spans="1:30">
      <c r="A143" s="161"/>
      <c r="B143" s="161"/>
      <c r="C143" s="160"/>
      <c r="D143" s="160"/>
      <c r="E143" s="160"/>
      <c r="F143" s="160"/>
      <c r="G143" s="160"/>
      <c r="H143" s="173"/>
      <c r="I143" s="173"/>
      <c r="J143" s="173"/>
      <c r="K143" s="173"/>
      <c r="L143" s="173"/>
      <c r="M143" s="160"/>
      <c r="N143" s="190"/>
      <c r="O143" s="160"/>
      <c r="P143" s="160"/>
      <c r="Q143" s="160"/>
      <c r="R143" s="160"/>
      <c r="S143" s="160"/>
      <c r="T143" s="160"/>
      <c r="U143" s="160"/>
      <c r="V143" s="160"/>
      <c r="W143" s="160"/>
      <c r="X143" s="160"/>
      <c r="Y143" s="189"/>
      <c r="Z143" s="158"/>
      <c r="AA143" s="178"/>
      <c r="AB143" s="158"/>
      <c r="AC143" s="158"/>
      <c r="AD143" s="158"/>
    </row>
    <row r="144" customHeight="1" spans="1:30">
      <c r="A144" s="161"/>
      <c r="B144" s="161"/>
      <c r="C144" s="160"/>
      <c r="D144" s="160"/>
      <c r="E144" s="160"/>
      <c r="F144" s="160"/>
      <c r="G144" s="160"/>
      <c r="H144" s="173"/>
      <c r="I144" s="173"/>
      <c r="J144" s="173"/>
      <c r="K144" s="173"/>
      <c r="L144" s="173"/>
      <c r="M144" s="160"/>
      <c r="N144" s="190"/>
      <c r="O144" s="160"/>
      <c r="P144" s="160"/>
      <c r="Q144" s="160"/>
      <c r="R144" s="160"/>
      <c r="S144" s="160"/>
      <c r="T144" s="160"/>
      <c r="U144" s="160"/>
      <c r="V144" s="160"/>
      <c r="W144" s="160"/>
      <c r="X144" s="160"/>
      <c r="Y144" s="189"/>
      <c r="Z144" s="158"/>
      <c r="AA144" s="178"/>
      <c r="AB144" s="158"/>
      <c r="AC144" s="158"/>
      <c r="AD144" s="158"/>
    </row>
    <row r="145" customHeight="1" spans="1:30">
      <c r="A145" s="161"/>
      <c r="B145" s="161"/>
      <c r="C145" s="160"/>
      <c r="D145" s="160"/>
      <c r="E145" s="160"/>
      <c r="F145" s="160"/>
      <c r="G145" s="160"/>
      <c r="H145" s="173"/>
      <c r="I145" s="173"/>
      <c r="J145" s="173"/>
      <c r="K145" s="173"/>
      <c r="L145" s="173"/>
      <c r="M145" s="160"/>
      <c r="N145" s="190"/>
      <c r="O145" s="160"/>
      <c r="P145" s="160"/>
      <c r="Q145" s="160"/>
      <c r="R145" s="160"/>
      <c r="S145" s="160"/>
      <c r="T145" s="160"/>
      <c r="U145" s="160"/>
      <c r="V145" s="160"/>
      <c r="W145" s="160"/>
      <c r="X145" s="160"/>
      <c r="Y145" s="189"/>
      <c r="Z145" s="158"/>
      <c r="AA145" s="178"/>
      <c r="AB145" s="158"/>
      <c r="AC145" s="158"/>
      <c r="AD145" s="158"/>
    </row>
    <row r="146" customHeight="1" spans="1:30">
      <c r="A146" s="161"/>
      <c r="B146" s="161"/>
      <c r="C146" s="160"/>
      <c r="D146" s="160"/>
      <c r="E146" s="160"/>
      <c r="F146" s="160"/>
      <c r="G146" s="160"/>
      <c r="H146" s="173"/>
      <c r="I146" s="173"/>
      <c r="J146" s="173"/>
      <c r="K146" s="173"/>
      <c r="L146" s="173"/>
      <c r="M146" s="160"/>
      <c r="N146" s="190"/>
      <c r="O146" s="160"/>
      <c r="P146" s="160"/>
      <c r="Q146" s="160"/>
      <c r="R146" s="160"/>
      <c r="S146" s="160"/>
      <c r="T146" s="160"/>
      <c r="U146" s="160"/>
      <c r="V146" s="160"/>
      <c r="W146" s="160"/>
      <c r="X146" s="160"/>
      <c r="Y146" s="189"/>
      <c r="Z146" s="158"/>
      <c r="AA146" s="178"/>
      <c r="AB146" s="158"/>
      <c r="AC146" s="158"/>
      <c r="AD146" s="158"/>
    </row>
    <row r="147" customHeight="1" spans="1:30">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row>
    <row r="148" ht="90" customHeight="1" spans="1:30">
      <c r="A148" s="161" t="s">
        <v>1679</v>
      </c>
      <c r="B148" s="161"/>
      <c r="C148" s="160" t="s">
        <v>2241</v>
      </c>
      <c r="D148" s="160" t="s">
        <v>1580</v>
      </c>
      <c r="E148" s="160" t="s">
        <v>1681</v>
      </c>
      <c r="F148" s="160" t="s">
        <v>2242</v>
      </c>
      <c r="G148" s="160"/>
      <c r="H148" s="160"/>
      <c r="I148" s="194"/>
      <c r="J148" s="194"/>
      <c r="K148" s="194"/>
      <c r="L148" s="194"/>
      <c r="M148" s="195"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179"/>
      <c r="O148" s="160"/>
      <c r="P148" s="176"/>
      <c r="Q148" s="176"/>
      <c r="R148" s="176"/>
      <c r="S148" s="160"/>
      <c r="T148" s="160" t="s">
        <v>2243</v>
      </c>
      <c r="U148" s="1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176"/>
      <c r="W148" s="176"/>
      <c r="X148" s="160" t="s">
        <v>2244</v>
      </c>
      <c r="Y148" s="189"/>
      <c r="Z148" s="158"/>
      <c r="AA148" s="178"/>
      <c r="AB148" s="158"/>
      <c r="AC148" s="158"/>
      <c r="AD148" s="158"/>
    </row>
    <row r="149" customHeight="1" spans="1:30">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row>
    <row r="150" customHeight="1" spans="1:30">
      <c r="A150" s="161" t="s">
        <v>1683</v>
      </c>
      <c r="B150" s="161"/>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89"/>
      <c r="Z150" s="158"/>
      <c r="AA150" s="178"/>
      <c r="AB150" s="158"/>
      <c r="AC150" s="158"/>
      <c r="AD150" s="158"/>
    </row>
    <row r="151" customHeight="1" spans="1:30">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row>
    <row r="152" customHeight="1" spans="1:30">
      <c r="A152" s="161" t="s">
        <v>1686</v>
      </c>
      <c r="B152" s="161"/>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89"/>
      <c r="Z152" s="158"/>
      <c r="AA152" s="178"/>
      <c r="AB152" s="158"/>
      <c r="AC152" s="158"/>
      <c r="AD152" s="158"/>
    </row>
    <row r="153" customHeight="1" spans="1:30">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row>
    <row r="154" customHeight="1" spans="1:30">
      <c r="A154" s="161" t="s">
        <v>1691</v>
      </c>
      <c r="B154" s="161"/>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89"/>
      <c r="Z154" s="158"/>
      <c r="AA154" s="178"/>
      <c r="AB154" s="158"/>
      <c r="AC154" s="158"/>
      <c r="AD154" s="158"/>
    </row>
  </sheetData>
  <sheetProtection insertRows="0" deleteColumns="0" deleteRows="0" sort="0" autoFilter="0"/>
  <mergeCells count="12">
    <mergeCell ref="O1:S1"/>
    <mergeCell ref="T1:X1"/>
    <mergeCell ref="Z1:AD1"/>
    <mergeCell ref="C3:F3"/>
    <mergeCell ref="A11:A15"/>
    <mergeCell ref="C11:C16"/>
    <mergeCell ref="D11:D16"/>
    <mergeCell ref="E11:E16"/>
    <mergeCell ref="F11:F16"/>
    <mergeCell ref="G11:G16"/>
    <mergeCell ref="H13:H14"/>
    <mergeCell ref="H15:H16"/>
  </mergeCells>
  <pageMargins left="0.7" right="0.7" top="0.75" bottom="0.75" header="0.3" footer="0.3"/>
  <pageSetup paperSize="9" orientation="portrait"/>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AD41"/>
  <sheetViews>
    <sheetView showGridLines="0" topLeftCell="I4" workbookViewId="0">
      <selection activeCell="A1" sqref="A1"/>
    </sheetView>
  </sheetViews>
  <sheetFormatPr defaultColWidth="10.5714285714286" defaultRowHeight="14.25" customHeight="1"/>
  <cols>
    <col min="1" max="1" width="10.5714285714286" style="37" hidden="1"/>
    <col min="2" max="2" width="11" style="37" hidden="1" customWidth="1"/>
    <col min="3" max="3" width="10.5714285714286" style="37" hidden="1"/>
    <col min="4" max="4" width="11.847619047619" style="37" hidden="1" customWidth="1"/>
    <col min="5" max="5" width="12.2857142857143" style="37" hidden="1" customWidth="1"/>
    <col min="6" max="8" width="12.2857142857143" style="38" hidden="1" customWidth="1"/>
    <col min="9" max="9" width="3" style="39" customWidth="1"/>
    <col min="10" max="11" width="3" style="40" customWidth="1"/>
    <col min="12" max="12" width="12" style="41" customWidth="1"/>
    <col min="13" max="13" width="31" style="42" customWidth="1"/>
    <col min="14" max="14" width="1" style="42" customWidth="1"/>
    <col min="15" max="18" width="24" style="42" customWidth="1"/>
    <col min="19" max="19" width="11" style="42" customWidth="1"/>
    <col min="20" max="20" width="3.71428571428571" style="42" customWidth="1"/>
    <col min="21" max="21" width="11" style="42" customWidth="1"/>
    <col min="22" max="22" width="8.57142857142857" style="42" customWidth="1"/>
    <col min="23" max="23" width="4" style="42" customWidth="1"/>
    <col min="24" max="24" width="115" style="42" customWidth="1"/>
    <col min="25" max="29" width="10" style="43" customWidth="1"/>
    <col min="30" max="30" width="10.5714285714286" style="42" hidden="1"/>
  </cols>
  <sheetData>
    <row r="1" ht="22.5" hidden="1" customHeight="1" spans="30:30">
      <c r="AD1" s="42" t="s">
        <v>14</v>
      </c>
    </row>
    <row r="2" hidden="1" customHeight="1" spans="30:30">
      <c r="AD2" s="42">
        <v>0</v>
      </c>
    </row>
    <row r="3" hidden="1" customHeight="1" spans="30:30">
      <c r="AD3" s="42">
        <v>0</v>
      </c>
    </row>
    <row r="4" ht="14.7" customHeight="1" spans="10:30">
      <c r="J4" s="50"/>
      <c r="K4" s="50"/>
      <c r="L4" s="51"/>
      <c r="M4" s="52"/>
      <c r="N4" s="52"/>
      <c r="AD4" s="42">
        <v>14</v>
      </c>
    </row>
    <row r="5" ht="67.2" customHeight="1" spans="10:30">
      <c r="J5" s="50"/>
      <c r="K5" s="50"/>
      <c r="L5" s="53" t="s">
        <v>2245</v>
      </c>
      <c r="M5" s="53"/>
      <c r="N5" s="53"/>
      <c r="O5" s="53"/>
      <c r="P5" s="53"/>
      <c r="Q5" s="53"/>
      <c r="R5" s="53"/>
      <c r="S5" s="53"/>
      <c r="T5" s="53"/>
      <c r="U5" s="53"/>
      <c r="V5" s="120"/>
      <c r="AD5" s="42">
        <v>64</v>
      </c>
    </row>
    <row r="6" ht="14.7" customHeight="1" spans="10:30">
      <c r="J6" s="50"/>
      <c r="K6" s="50"/>
      <c r="L6" s="54" t="str">
        <f>IF(org=0,"Не определено",org)</f>
        <v>АО "ОЭЗ ППТ "Алабуга"</v>
      </c>
      <c r="M6" s="54"/>
      <c r="N6" s="54"/>
      <c r="O6" s="54"/>
      <c r="P6" s="54"/>
      <c r="Q6" s="54"/>
      <c r="R6" s="54"/>
      <c r="S6" s="54"/>
      <c r="T6" s="54"/>
      <c r="U6" s="54"/>
      <c r="V6" s="120"/>
      <c r="AD6" s="42">
        <v>14</v>
      </c>
    </row>
    <row r="7" ht="14.7" customHeight="1" spans="10:30">
      <c r="J7" s="50"/>
      <c r="K7" s="50"/>
      <c r="L7" s="51"/>
      <c r="M7" s="52"/>
      <c r="N7" s="52"/>
      <c r="O7" s="55"/>
      <c r="P7" s="55"/>
      <c r="Q7" s="55"/>
      <c r="R7" s="55"/>
      <c r="S7" s="55"/>
      <c r="T7" s="55"/>
      <c r="U7" s="55"/>
      <c r="V7" s="55"/>
      <c r="AD7" s="42">
        <v>14</v>
      </c>
    </row>
    <row r="8" s="35" customFormat="1" ht="48.3" customHeight="1" spans="1:30">
      <c r="A8" s="44"/>
      <c r="B8" s="44"/>
      <c r="C8" s="44"/>
      <c r="D8" s="44"/>
      <c r="E8" s="44"/>
      <c r="F8" s="44"/>
      <c r="G8" s="44"/>
      <c r="H8" s="44"/>
      <c r="L8" s="56"/>
      <c r="M8" s="57" t="s">
        <v>42</v>
      </c>
      <c r="N8" s="58"/>
      <c r="O8" s="59" t="str">
        <f>IF(TITLE_NAME_OR_PR_CHANGE="",IF(TITLE_NAME_OR_PR="","",TITLE_NAME_OR_PR),TITLE_NAME_OR_PR_CHANGE)</f>
        <v>Государственный комитет РТ по тарифам</v>
      </c>
      <c r="P8" s="59"/>
      <c r="Q8" s="59"/>
      <c r="R8" s="59"/>
      <c r="S8" s="59"/>
      <c r="T8" s="59"/>
      <c r="U8" s="59"/>
      <c r="V8" s="42"/>
      <c r="W8" s="42"/>
      <c r="X8" s="121"/>
      <c r="Y8" s="150"/>
      <c r="Z8" s="150"/>
      <c r="AA8" s="150"/>
      <c r="AB8" s="150"/>
      <c r="AC8" s="150"/>
      <c r="AD8" s="35">
        <v>46</v>
      </c>
    </row>
    <row r="9" s="35" customFormat="1" ht="24" customHeight="1" spans="1:30">
      <c r="A9" s="44"/>
      <c r="B9" s="44"/>
      <c r="C9" s="44"/>
      <c r="D9" s="44"/>
      <c r="E9" s="44"/>
      <c r="F9" s="44"/>
      <c r="G9" s="44"/>
      <c r="H9" s="44"/>
      <c r="L9" s="56"/>
      <c r="M9" s="57" t="s">
        <v>426</v>
      </c>
      <c r="N9" s="58"/>
      <c r="O9" s="59">
        <f>IF(TITLE_DATE_CHANGE_PERIOD="",IF(TITLE_DATE_PR="","",TITLE_DATE_PR),TITLE_DATE_CHANGE_PERIOD)</f>
        <v>45525</v>
      </c>
      <c r="P9" s="59"/>
      <c r="Q9" s="59"/>
      <c r="R9" s="59"/>
      <c r="S9" s="59"/>
      <c r="T9" s="59"/>
      <c r="U9" s="59"/>
      <c r="V9" s="42"/>
      <c r="W9" s="42"/>
      <c r="X9" s="121"/>
      <c r="Y9" s="150"/>
      <c r="Z9" s="150"/>
      <c r="AA9" s="150"/>
      <c r="AB9" s="150"/>
      <c r="AC9" s="150"/>
      <c r="AD9" s="35">
        <v>23</v>
      </c>
    </row>
    <row r="10" s="35" customFormat="1" ht="24" customHeight="1" spans="1:30">
      <c r="A10" s="44"/>
      <c r="B10" s="44"/>
      <c r="C10" s="44"/>
      <c r="D10" s="44"/>
      <c r="E10" s="44"/>
      <c r="F10" s="44"/>
      <c r="G10" s="44"/>
      <c r="H10" s="44"/>
      <c r="L10" s="41"/>
      <c r="M10" s="57" t="s">
        <v>427</v>
      </c>
      <c r="N10" s="58"/>
      <c r="O10" s="59" t="str">
        <f>IF(TITLE_NUMBER_PR_CHANGE="",IF(TITLE_NUMBER_PR="","",TITLE_NUMBER_PR),TITLE_NUMBER_PR_CHANGE)</f>
        <v>108-73/тп-2024</v>
      </c>
      <c r="P10" s="59"/>
      <c r="Q10" s="59"/>
      <c r="R10" s="59"/>
      <c r="S10" s="59"/>
      <c r="T10" s="59"/>
      <c r="U10" s="59"/>
      <c r="V10" s="42"/>
      <c r="W10" s="42"/>
      <c r="X10" s="121"/>
      <c r="Y10" s="150"/>
      <c r="Z10" s="150"/>
      <c r="AA10" s="150"/>
      <c r="AB10" s="150"/>
      <c r="AC10" s="150"/>
      <c r="AD10" s="35">
        <v>23</v>
      </c>
    </row>
    <row r="11" s="35" customFormat="1" ht="24" customHeight="1" spans="1:30">
      <c r="A11" s="44"/>
      <c r="B11" s="44"/>
      <c r="C11" s="44"/>
      <c r="D11" s="44"/>
      <c r="E11" s="44"/>
      <c r="F11" s="44"/>
      <c r="G11" s="44"/>
      <c r="H11" s="44"/>
      <c r="L11" s="41"/>
      <c r="M11" s="57" t="s">
        <v>44</v>
      </c>
      <c r="N11" s="58"/>
      <c r="O11" s="59" t="str">
        <f>IF(TITLE_IST_PUB_CHANGE="",IF(TITLE_IST_PUB="","",TITLE_IST_PUB),TITLE_IST_PUB_CHANGE)</f>
        <v>"Официальный портал правовой информации
Республики Татарстан"</v>
      </c>
      <c r="P11" s="59"/>
      <c r="Q11" s="59"/>
      <c r="R11" s="59"/>
      <c r="S11" s="59"/>
      <c r="T11" s="59"/>
      <c r="U11" s="59"/>
      <c r="V11" s="42"/>
      <c r="W11" s="42"/>
      <c r="X11" s="121"/>
      <c r="Y11" s="150"/>
      <c r="Z11" s="150"/>
      <c r="AA11" s="150"/>
      <c r="AB11" s="150"/>
      <c r="AC11" s="150"/>
      <c r="AD11" s="35">
        <v>23</v>
      </c>
    </row>
    <row r="12" s="35" customFormat="1" ht="11.25" hidden="1" customHeight="1" spans="1:30">
      <c r="A12" s="44"/>
      <c r="B12" s="44"/>
      <c r="C12" s="44"/>
      <c r="D12" s="44"/>
      <c r="E12" s="44"/>
      <c r="F12" s="44"/>
      <c r="G12" s="44"/>
      <c r="H12" s="44"/>
      <c r="L12" s="60"/>
      <c r="M12" s="60"/>
      <c r="N12" s="60"/>
      <c r="O12" s="42"/>
      <c r="P12" s="42"/>
      <c r="Q12" s="42"/>
      <c r="R12" s="42"/>
      <c r="S12" s="42"/>
      <c r="T12" s="42"/>
      <c r="U12" s="42"/>
      <c r="V12" s="43" t="s">
        <v>430</v>
      </c>
      <c r="Y12" s="150"/>
      <c r="Z12" s="150"/>
      <c r="AA12" s="150"/>
      <c r="AB12" s="150"/>
      <c r="AC12" s="150"/>
      <c r="AD12" s="35">
        <v>0</v>
      </c>
    </row>
    <row r="13" ht="14.7" customHeight="1" spans="10:30">
      <c r="J13" s="50"/>
      <c r="K13" s="50"/>
      <c r="L13" s="51"/>
      <c r="M13" s="52"/>
      <c r="N13" s="61"/>
      <c r="O13" s="62"/>
      <c r="P13" s="62"/>
      <c r="Q13" s="62"/>
      <c r="R13" s="62"/>
      <c r="S13" s="62"/>
      <c r="T13" s="62"/>
      <c r="U13" s="62"/>
      <c r="V13" s="62"/>
      <c r="AD13" s="42">
        <v>14</v>
      </c>
    </row>
    <row r="14" ht="14.7" customHeight="1" spans="10:30">
      <c r="J14" s="50"/>
      <c r="K14" s="50"/>
      <c r="L14" s="63" t="s">
        <v>305</v>
      </c>
      <c r="M14" s="63"/>
      <c r="N14" s="63"/>
      <c r="O14" s="63"/>
      <c r="P14" s="63"/>
      <c r="Q14" s="63"/>
      <c r="R14" s="63"/>
      <c r="S14" s="63"/>
      <c r="T14" s="63"/>
      <c r="U14" s="63"/>
      <c r="V14" s="63"/>
      <c r="W14" s="63"/>
      <c r="X14" s="63" t="s">
        <v>306</v>
      </c>
      <c r="AD14" s="42">
        <v>14</v>
      </c>
    </row>
    <row r="15" ht="14.7" customHeight="1" spans="10:30">
      <c r="J15" s="50"/>
      <c r="K15" s="50"/>
      <c r="L15" s="64" t="s">
        <v>89</v>
      </c>
      <c r="M15" s="65" t="s">
        <v>431</v>
      </c>
      <c r="N15" s="66"/>
      <c r="O15" s="67" t="s">
        <v>2246</v>
      </c>
      <c r="P15" s="68"/>
      <c r="Q15" s="68"/>
      <c r="R15" s="68"/>
      <c r="S15" s="68"/>
      <c r="T15" s="68"/>
      <c r="U15" s="122"/>
      <c r="V15" s="123" t="s">
        <v>433</v>
      </c>
      <c r="W15" s="124" t="s">
        <v>1167</v>
      </c>
      <c r="X15" s="63"/>
      <c r="AD15" s="42">
        <v>14</v>
      </c>
    </row>
    <row r="16" ht="35.7" customHeight="1" spans="10:30">
      <c r="J16" s="50"/>
      <c r="K16" s="50"/>
      <c r="L16" s="64"/>
      <c r="M16" s="65"/>
      <c r="N16" s="69"/>
      <c r="O16" s="70" t="s">
        <v>436</v>
      </c>
      <c r="P16" s="70" t="s">
        <v>437</v>
      </c>
      <c r="Q16" s="125" t="s">
        <v>438</v>
      </c>
      <c r="R16" s="126"/>
      <c r="S16" s="125" t="s">
        <v>451</v>
      </c>
      <c r="T16" s="127"/>
      <c r="U16" s="126"/>
      <c r="V16" s="128"/>
      <c r="W16" s="129"/>
      <c r="X16" s="63"/>
      <c r="AD16" s="42">
        <v>34</v>
      </c>
    </row>
    <row r="17" ht="35.7" customHeight="1" spans="1:30">
      <c r="A17" s="44" t="s">
        <v>136</v>
      </c>
      <c r="B17" s="44" t="s">
        <v>137</v>
      </c>
      <c r="C17" s="44" t="s">
        <v>138</v>
      </c>
      <c r="D17" s="44" t="s">
        <v>139</v>
      </c>
      <c r="E17" s="44"/>
      <c r="J17" s="50"/>
      <c r="K17" s="50"/>
      <c r="L17" s="64"/>
      <c r="M17" s="65"/>
      <c r="N17" s="71"/>
      <c r="O17" s="72"/>
      <c r="P17" s="72"/>
      <c r="Q17" s="130" t="s">
        <v>447</v>
      </c>
      <c r="R17" s="130" t="s">
        <v>448</v>
      </c>
      <c r="S17" s="130" t="s">
        <v>449</v>
      </c>
      <c r="T17" s="131" t="s">
        <v>450</v>
      </c>
      <c r="U17" s="132"/>
      <c r="V17" s="133"/>
      <c r="W17" s="134"/>
      <c r="X17" s="63"/>
      <c r="AD17" s="42">
        <v>34</v>
      </c>
    </row>
    <row r="18" s="36" customFormat="1" ht="11.55" customHeight="1" spans="1:30">
      <c r="A18" s="44"/>
      <c r="B18" s="44"/>
      <c r="C18" s="44"/>
      <c r="D18" s="44"/>
      <c r="E18" s="44"/>
      <c r="F18" s="38"/>
      <c r="G18" s="38"/>
      <c r="H18" s="38"/>
      <c r="I18" s="73"/>
      <c r="J18" s="74"/>
      <c r="K18" s="75">
        <v>1</v>
      </c>
      <c r="L18" s="76" t="s">
        <v>111</v>
      </c>
      <c r="M18" s="77" t="s">
        <v>112</v>
      </c>
      <c r="N18" s="78" t="str">
        <f ca="1">OFFSET(N18,0,-1)</f>
        <v>2</v>
      </c>
      <c r="O18" s="79">
        <f ca="1">OFFSET(O18,0,-1)+1</f>
        <v>3</v>
      </c>
      <c r="P18" s="79"/>
      <c r="Q18" s="79">
        <f ca="1">OFFSET(Q18,0,-1)+1</f>
        <v>1</v>
      </c>
      <c r="R18" s="79">
        <f ca="1">OFFSET(R18,0,-1)+1</f>
        <v>2</v>
      </c>
      <c r="S18" s="79">
        <f ca="1">OFFSET(S18,0,-1)+1</f>
        <v>3</v>
      </c>
      <c r="T18" s="79">
        <f ca="1">OFFSET(T18,0,-1)+1</f>
        <v>4</v>
      </c>
      <c r="U18" s="79"/>
      <c r="V18" s="79">
        <f ca="1">OFFSET(V18,0,-2)+1</f>
        <v>5</v>
      </c>
      <c r="W18" s="78">
        <f ca="1">OFFSET(W18,0,-1)</f>
        <v>5</v>
      </c>
      <c r="X18" s="79">
        <f ca="1">OFFSET(X18,0,-1)+1</f>
        <v>6</v>
      </c>
      <c r="Y18" s="43"/>
      <c r="Z18" s="43"/>
      <c r="AA18" s="43"/>
      <c r="AB18" s="43"/>
      <c r="AC18" s="43"/>
      <c r="AD18" s="36">
        <v>11</v>
      </c>
    </row>
    <row r="19" ht="21" customHeight="1" spans="1:30">
      <c r="A19" s="45" t="s">
        <v>170</v>
      </c>
      <c r="B19" s="45" t="s">
        <v>171</v>
      </c>
      <c r="C19" s="45" t="s">
        <v>172</v>
      </c>
      <c r="D19" s="45" t="s">
        <v>173</v>
      </c>
      <c r="E19" s="45"/>
      <c r="F19" s="46"/>
      <c r="G19" s="46"/>
      <c r="H19" s="46"/>
      <c r="J19" s="80"/>
      <c r="K19" s="81"/>
      <c r="L19" s="64">
        <f>INDEX(PT_DIFFERENTIATION_NUM_NTAR,MATCH(A19,PT_DIFFERENTIATION_NTAR_ID,0))</f>
        <v>0</v>
      </c>
      <c r="M19" s="82" t="s">
        <v>125</v>
      </c>
      <c r="N19" s="83"/>
      <c r="O19" s="84" t="str">
        <f>INDEX(PT_DIFFERENTIATION_NTAR,MATCH(A19,PT_DIFFERENTIATION_NTAR_ID,0))</f>
        <v/>
      </c>
      <c r="P19" s="84"/>
      <c r="Q19" s="84"/>
      <c r="R19" s="84"/>
      <c r="S19" s="84"/>
      <c r="T19" s="84"/>
      <c r="U19" s="84"/>
      <c r="V19" s="84"/>
      <c r="W19" s="84"/>
      <c r="X19" s="135" t="s">
        <v>401</v>
      </c>
      <c r="Z19" s="150"/>
      <c r="AA19" s="150" t="str">
        <f t="shared" ref="AA19:AA32" si="0">IF(M19="","",M19)</f>
        <v>Наименование тарифа</v>
      </c>
      <c r="AB19" s="150"/>
      <c r="AC19" s="150"/>
      <c r="AD19" s="42">
        <v>20</v>
      </c>
    </row>
    <row r="20" ht="21" customHeight="1" spans="1:30">
      <c r="A20" s="45" t="s">
        <v>170</v>
      </c>
      <c r="B20" s="45" t="s">
        <v>171</v>
      </c>
      <c r="C20" s="45" t="s">
        <v>172</v>
      </c>
      <c r="D20" s="45" t="s">
        <v>173</v>
      </c>
      <c r="E20" s="45"/>
      <c r="F20" s="46"/>
      <c r="G20" s="46"/>
      <c r="H20" s="46"/>
      <c r="I20" s="85"/>
      <c r="J20" s="86"/>
      <c r="K20" s="87"/>
      <c r="L20" s="64" t="str">
        <f>INDEX(PT_DIFFERENTIATION_NUM_TER,MATCH(B19,PT_DIFFERENTIATION_TER_ID,0))</f>
        <v>.</v>
      </c>
      <c r="M20" s="88" t="s">
        <v>402</v>
      </c>
      <c r="N20" s="83"/>
      <c r="O20" s="84" t="str">
        <f>INDEX(PT_DIFFERENTIATION_TER,MATCH(B19,PT_DIFFERENTIATION_TER_ID,0))</f>
        <v/>
      </c>
      <c r="P20" s="84"/>
      <c r="Q20" s="84"/>
      <c r="R20" s="84"/>
      <c r="S20" s="84"/>
      <c r="T20" s="84"/>
      <c r="U20" s="84"/>
      <c r="V20" s="84"/>
      <c r="W20" s="84"/>
      <c r="X20" s="135" t="s">
        <v>403</v>
      </c>
      <c r="Z20" s="150"/>
      <c r="AA20" s="150" t="str">
        <f t="shared" si="0"/>
        <v>Территория действия тарифа</v>
      </c>
      <c r="AB20" s="150"/>
      <c r="AC20" s="150"/>
      <c r="AD20" s="42">
        <v>20</v>
      </c>
    </row>
    <row r="21" ht="24" customHeight="1" spans="1:30">
      <c r="A21" s="45" t="s">
        <v>170</v>
      </c>
      <c r="B21" s="45" t="s">
        <v>171</v>
      </c>
      <c r="C21" s="45" t="s">
        <v>172</v>
      </c>
      <c r="D21" s="45" t="s">
        <v>173</v>
      </c>
      <c r="E21" s="45"/>
      <c r="F21" s="46"/>
      <c r="G21" s="46"/>
      <c r="H21" s="46"/>
      <c r="I21" s="89"/>
      <c r="J21" s="86"/>
      <c r="K21" s="87"/>
      <c r="L21" s="64" t="str">
        <f>INDEX(PT_DIFFERENTIATION_NUM_CS,MATCH(C19,PT_DIFFERENTIATION_CS_ID,0))</f>
        <v>..</v>
      </c>
      <c r="M21" s="90" t="s">
        <v>404</v>
      </c>
      <c r="N21" s="83"/>
      <c r="O21" s="84" t="str">
        <f>INDEX(PT_DIFFERENTIATION_CS,MATCH(C19,PT_DIFFERENTIATION_CS_ID,0))</f>
        <v/>
      </c>
      <c r="P21" s="84"/>
      <c r="Q21" s="84"/>
      <c r="R21" s="84"/>
      <c r="S21" s="84"/>
      <c r="T21" s="84"/>
      <c r="U21" s="84"/>
      <c r="V21" s="84"/>
      <c r="W21" s="84"/>
      <c r="X21" s="135" t="s">
        <v>405</v>
      </c>
      <c r="Z21" s="150"/>
      <c r="AA21" s="150" t="str">
        <f t="shared" si="0"/>
        <v>Наименование системы теплоснабжения </v>
      </c>
      <c r="AB21" s="150"/>
      <c r="AC21" s="150"/>
      <c r="AD21" s="42">
        <v>23</v>
      </c>
    </row>
    <row r="22" ht="21" customHeight="1" spans="1:30">
      <c r="A22" s="45" t="s">
        <v>170</v>
      </c>
      <c r="B22" s="45" t="s">
        <v>171</v>
      </c>
      <c r="C22" s="45" t="s">
        <v>172</v>
      </c>
      <c r="D22" s="45" t="s">
        <v>173</v>
      </c>
      <c r="E22" s="45"/>
      <c r="F22" s="46"/>
      <c r="G22" s="46"/>
      <c r="H22" s="46"/>
      <c r="I22" s="89"/>
      <c r="J22" s="86"/>
      <c r="K22" s="87"/>
      <c r="L22" s="64" t="str">
        <f>INDEX(PT_DIFFERENTIATION_NUM_IST_TE,MATCH(D19,PT_DIFFERENTIATION_IST_TE_ID,0))</f>
        <v>...</v>
      </c>
      <c r="M22" s="91" t="s">
        <v>406</v>
      </c>
      <c r="N22" s="83"/>
      <c r="O22" s="84" t="str">
        <f>INDEX(PT_DIFFERENTIATION_IST_TE,MATCH(D19,PT_DIFFERENTIATION_IST_TE_ID,0))</f>
        <v/>
      </c>
      <c r="P22" s="84"/>
      <c r="Q22" s="84"/>
      <c r="R22" s="84"/>
      <c r="S22" s="84"/>
      <c r="T22" s="84"/>
      <c r="U22" s="84"/>
      <c r="V22" s="84"/>
      <c r="W22" s="84"/>
      <c r="X22" s="135" t="s">
        <v>407</v>
      </c>
      <c r="Z22" s="150"/>
      <c r="AA22" s="150" t="str">
        <f t="shared" si="0"/>
        <v>Источник тепловой энергии  </v>
      </c>
      <c r="AB22" s="150"/>
      <c r="AC22" s="150"/>
      <c r="AD22" s="42">
        <v>20</v>
      </c>
    </row>
    <row r="23" ht="96.75" customHeight="1" spans="1:30">
      <c r="A23" s="45" t="s">
        <v>170</v>
      </c>
      <c r="B23" s="45" t="s">
        <v>171</v>
      </c>
      <c r="C23" s="45" t="s">
        <v>172</v>
      </c>
      <c r="D23" s="45" t="s">
        <v>173</v>
      </c>
      <c r="E23" s="45"/>
      <c r="F23" s="47" t="str">
        <f>L22&amp;".1"</f>
        <v>....1</v>
      </c>
      <c r="I23" s="92">
        <v>1</v>
      </c>
      <c r="J23" s="92"/>
      <c r="K23" s="93"/>
      <c r="L23" s="64" t="str">
        <f>$F$23</f>
        <v>....1</v>
      </c>
      <c r="M23" s="94" t="s">
        <v>409</v>
      </c>
      <c r="N23" s="83"/>
      <c r="O23" s="95"/>
      <c r="P23" s="95"/>
      <c r="Q23" s="95"/>
      <c r="R23" s="95"/>
      <c r="S23" s="95"/>
      <c r="T23" s="95"/>
      <c r="U23" s="95"/>
      <c r="V23" s="95"/>
      <c r="W23" s="95"/>
      <c r="X23" s="135" t="s">
        <v>410</v>
      </c>
      <c r="Z23" s="150"/>
      <c r="AA23" s="150" t="str">
        <f t="shared" si="0"/>
        <v>Схема подключения теплопотребляющей установки к коллектору источника тепловой энергии</v>
      </c>
      <c r="AB23" s="150"/>
      <c r="AC23" s="150"/>
      <c r="AD23" s="42">
        <v>92</v>
      </c>
    </row>
    <row r="24" ht="86.25" customHeight="1" spans="1:30">
      <c r="A24" s="45" t="s">
        <v>170</v>
      </c>
      <c r="B24" s="45" t="s">
        <v>171</v>
      </c>
      <c r="C24" s="45" t="s">
        <v>172</v>
      </c>
      <c r="D24" s="45" t="s">
        <v>173</v>
      </c>
      <c r="E24" s="45"/>
      <c r="F24" s="47"/>
      <c r="G24" s="47" t="str">
        <f>F23&amp;".1"</f>
        <v>....1.1</v>
      </c>
      <c r="I24" s="92"/>
      <c r="J24" s="92">
        <v>1</v>
      </c>
      <c r="K24" s="96"/>
      <c r="L24" s="64" t="str">
        <f>$G$24</f>
        <v>....1.1</v>
      </c>
      <c r="M24" s="97" t="s">
        <v>412</v>
      </c>
      <c r="N24" s="83"/>
      <c r="O24" s="98"/>
      <c r="P24" s="99"/>
      <c r="Q24" s="99"/>
      <c r="R24" s="99"/>
      <c r="S24" s="99"/>
      <c r="T24" s="99"/>
      <c r="U24" s="99"/>
      <c r="V24" s="99"/>
      <c r="W24" s="136"/>
      <c r="X24" s="135" t="s">
        <v>413</v>
      </c>
      <c r="Z24" s="150"/>
      <c r="AA24" s="150" t="str">
        <f t="shared" si="0"/>
        <v>Группа потребителей</v>
      </c>
      <c r="AB24" s="150"/>
      <c r="AC24" s="150"/>
      <c r="AD24" s="42">
        <v>82</v>
      </c>
    </row>
    <row r="25" ht="11.55" customHeight="1" spans="1:30">
      <c r="A25" s="45" t="s">
        <v>170</v>
      </c>
      <c r="B25" s="45" t="s">
        <v>171</v>
      </c>
      <c r="C25" s="45" t="s">
        <v>172</v>
      </c>
      <c r="D25" s="45" t="s">
        <v>173</v>
      </c>
      <c r="E25" s="45"/>
      <c r="F25" s="47"/>
      <c r="G25" s="47"/>
      <c r="H25" s="47" t="str">
        <f>G24&amp;".1"</f>
        <v>....1.1.1</v>
      </c>
      <c r="I25" s="92"/>
      <c r="J25" s="92"/>
      <c r="K25" s="96">
        <v>1</v>
      </c>
      <c r="L25" s="64" t="str">
        <f>$H$25</f>
        <v>....1.1.1</v>
      </c>
      <c r="M25" s="100"/>
      <c r="N25" s="83"/>
      <c r="O25" s="101"/>
      <c r="P25" s="102"/>
      <c r="Q25" s="101"/>
      <c r="R25" s="137"/>
      <c r="S25" s="138"/>
      <c r="T25" s="139" t="s">
        <v>62</v>
      </c>
      <c r="U25" s="138"/>
      <c r="V25" s="139" t="s">
        <v>19</v>
      </c>
      <c r="W25" s="102"/>
      <c r="X25" s="140" t="s">
        <v>415</v>
      </c>
      <c r="Y25" s="43" t="e">
        <f>STRCHECKDATE(O26:W26)</f>
        <v>#NAME?</v>
      </c>
      <c r="Z25" s="150"/>
      <c r="AA25" s="150" t="str">
        <f t="shared" si="0"/>
        <v/>
      </c>
      <c r="AB25" s="150"/>
      <c r="AC25" s="150"/>
      <c r="AD25" s="42">
        <v>11</v>
      </c>
    </row>
    <row r="26" ht="11.55" customHeight="1" spans="1:30">
      <c r="A26" s="45" t="s">
        <v>170</v>
      </c>
      <c r="B26" s="45" t="s">
        <v>171</v>
      </c>
      <c r="C26" s="45" t="s">
        <v>172</v>
      </c>
      <c r="D26" s="45" t="s">
        <v>173</v>
      </c>
      <c r="E26" s="45"/>
      <c r="F26" s="47"/>
      <c r="G26" s="47"/>
      <c r="H26" s="47"/>
      <c r="I26" s="92"/>
      <c r="J26" s="92"/>
      <c r="K26" s="96"/>
      <c r="L26" s="103"/>
      <c r="M26" s="83"/>
      <c r="N26" s="83"/>
      <c r="O26" s="102"/>
      <c r="P26" s="102"/>
      <c r="Q26" s="102"/>
      <c r="R26" s="141" t="str">
        <f>S25&amp;"-"&amp;U25</f>
        <v>-</v>
      </c>
      <c r="S26" s="142"/>
      <c r="T26" s="139"/>
      <c r="U26" s="142"/>
      <c r="V26" s="139"/>
      <c r="W26" s="102"/>
      <c r="X26" s="143"/>
      <c r="Z26" s="150"/>
      <c r="AA26" s="150" t="str">
        <f t="shared" si="0"/>
        <v/>
      </c>
      <c r="AB26" s="150"/>
      <c r="AC26" s="150"/>
      <c r="AD26" s="42">
        <v>11</v>
      </c>
    </row>
    <row r="27" ht="15.75" customHeight="1" spans="1:30">
      <c r="A27" s="45" t="s">
        <v>170</v>
      </c>
      <c r="B27" s="45" t="s">
        <v>171</v>
      </c>
      <c r="C27" s="45" t="s">
        <v>172</v>
      </c>
      <c r="D27" s="45" t="s">
        <v>173</v>
      </c>
      <c r="E27" s="45"/>
      <c r="F27" s="47"/>
      <c r="G27" s="47"/>
      <c r="I27" s="92"/>
      <c r="J27" s="92"/>
      <c r="K27" s="93"/>
      <c r="L27" s="104"/>
      <c r="M27" s="105" t="s">
        <v>416</v>
      </c>
      <c r="N27" s="106"/>
      <c r="O27" s="106"/>
      <c r="P27" s="106"/>
      <c r="Q27" s="106"/>
      <c r="R27" s="106"/>
      <c r="S27" s="106"/>
      <c r="T27" s="106"/>
      <c r="U27" s="106"/>
      <c r="V27" s="106"/>
      <c r="W27" s="144"/>
      <c r="X27" s="145"/>
      <c r="Z27" s="150"/>
      <c r="AA27" s="150" t="str">
        <f t="shared" si="0"/>
        <v>Добавить вид теплоносителя (параметры теплоносителя)</v>
      </c>
      <c r="AB27" s="150"/>
      <c r="AC27" s="150"/>
      <c r="AD27" s="42">
        <v>15</v>
      </c>
    </row>
    <row r="28" ht="15.75" customHeight="1" spans="1:30">
      <c r="A28" s="45" t="s">
        <v>170</v>
      </c>
      <c r="B28" s="45" t="s">
        <v>171</v>
      </c>
      <c r="C28" s="45" t="s">
        <v>172</v>
      </c>
      <c r="D28" s="45" t="s">
        <v>173</v>
      </c>
      <c r="E28" s="45"/>
      <c r="F28" s="47"/>
      <c r="I28" s="92"/>
      <c r="J28" s="92"/>
      <c r="K28" s="93"/>
      <c r="L28" s="104"/>
      <c r="M28" s="107" t="s">
        <v>417</v>
      </c>
      <c r="N28" s="106"/>
      <c r="O28" s="106"/>
      <c r="P28" s="106"/>
      <c r="Q28" s="106"/>
      <c r="R28" s="106"/>
      <c r="S28" s="106"/>
      <c r="T28" s="106"/>
      <c r="U28" s="106"/>
      <c r="V28" s="146"/>
      <c r="W28" s="106"/>
      <c r="X28" s="147"/>
      <c r="Z28" s="150"/>
      <c r="AA28" s="150" t="str">
        <f t="shared" si="0"/>
        <v>Добавить группу потребителей</v>
      </c>
      <c r="AB28" s="150"/>
      <c r="AC28" s="150"/>
      <c r="AD28" s="42">
        <v>15</v>
      </c>
    </row>
    <row r="29" ht="14.7" customHeight="1" spans="1:30">
      <c r="A29" s="45" t="s">
        <v>170</v>
      </c>
      <c r="B29" s="45" t="s">
        <v>171</v>
      </c>
      <c r="C29" s="45" t="s">
        <v>172</v>
      </c>
      <c r="D29" s="45" t="s">
        <v>173</v>
      </c>
      <c r="E29" s="45"/>
      <c r="F29" s="46"/>
      <c r="G29" s="46"/>
      <c r="H29" s="37"/>
      <c r="I29" s="80"/>
      <c r="J29" s="108"/>
      <c r="K29" s="81"/>
      <c r="L29" s="104"/>
      <c r="M29" s="109" t="s">
        <v>418</v>
      </c>
      <c r="N29" s="106"/>
      <c r="O29" s="106"/>
      <c r="P29" s="106"/>
      <c r="Q29" s="106"/>
      <c r="R29" s="106"/>
      <c r="S29" s="106"/>
      <c r="T29" s="106"/>
      <c r="U29" s="106"/>
      <c r="V29" s="146"/>
      <c r="W29" s="106"/>
      <c r="X29" s="147"/>
      <c r="Z29" s="150"/>
      <c r="AA29" s="150" t="str">
        <f t="shared" si="0"/>
        <v>Добавить схему подключения</v>
      </c>
      <c r="AB29" s="150"/>
      <c r="AC29" s="150"/>
      <c r="AD29" s="42">
        <v>14</v>
      </c>
    </row>
    <row r="30" ht="14.7" customHeight="1" spans="1:30">
      <c r="A30" s="45" t="s">
        <v>170</v>
      </c>
      <c r="B30" s="45" t="s">
        <v>171</v>
      </c>
      <c r="C30" s="45" t="s">
        <v>172</v>
      </c>
      <c r="D30" s="45"/>
      <c r="E30" s="45" t="s">
        <v>596</v>
      </c>
      <c r="F30" s="46"/>
      <c r="G30" s="46"/>
      <c r="H30" s="37"/>
      <c r="I30" s="80"/>
      <c r="J30" s="108"/>
      <c r="K30" s="81"/>
      <c r="L30" s="110"/>
      <c r="M30" s="111"/>
      <c r="N30" s="112"/>
      <c r="O30" s="112"/>
      <c r="P30" s="112"/>
      <c r="Q30" s="112"/>
      <c r="R30" s="112"/>
      <c r="S30" s="112"/>
      <c r="T30" s="112"/>
      <c r="U30" s="112"/>
      <c r="V30" s="148"/>
      <c r="W30" s="112"/>
      <c r="X30" s="149"/>
      <c r="Z30" s="150"/>
      <c r="AA30" s="150" t="str">
        <f t="shared" si="0"/>
        <v/>
      </c>
      <c r="AB30" s="150"/>
      <c r="AC30" s="150"/>
      <c r="AD30" s="42">
        <v>14</v>
      </c>
    </row>
    <row r="31" ht="14.7" customHeight="1" spans="1:30">
      <c r="A31" s="45" t="s">
        <v>170</v>
      </c>
      <c r="B31" s="45" t="s">
        <v>171</v>
      </c>
      <c r="C31" s="45"/>
      <c r="D31" s="45"/>
      <c r="E31" s="45" t="s">
        <v>2247</v>
      </c>
      <c r="F31" s="48"/>
      <c r="G31" s="48"/>
      <c r="H31" s="37"/>
      <c r="I31" s="113"/>
      <c r="J31" s="108"/>
      <c r="K31" s="114"/>
      <c r="L31" s="110"/>
      <c r="M31" s="115"/>
      <c r="N31" s="112"/>
      <c r="O31" s="112"/>
      <c r="P31" s="112"/>
      <c r="Q31" s="112"/>
      <c r="R31" s="112"/>
      <c r="S31" s="112"/>
      <c r="T31" s="112"/>
      <c r="U31" s="112"/>
      <c r="V31" s="148"/>
      <c r="W31" s="112"/>
      <c r="X31" s="149"/>
      <c r="Z31" s="150"/>
      <c r="AA31" s="150" t="str">
        <f t="shared" si="0"/>
        <v/>
      </c>
      <c r="AB31" s="150"/>
      <c r="AC31" s="150"/>
      <c r="AD31" s="42">
        <v>14</v>
      </c>
    </row>
    <row r="32" ht="14.7" customHeight="1" spans="1:30">
      <c r="A32" s="45" t="s">
        <v>2248</v>
      </c>
      <c r="B32" s="45"/>
      <c r="C32" s="45"/>
      <c r="D32" s="45"/>
      <c r="E32" s="45" t="s">
        <v>106</v>
      </c>
      <c r="F32" s="48"/>
      <c r="G32" s="48"/>
      <c r="H32" s="37"/>
      <c r="I32" s="80"/>
      <c r="J32" s="108"/>
      <c r="K32" s="81"/>
      <c r="L32" s="110"/>
      <c r="M32" s="116"/>
      <c r="N32" s="112"/>
      <c r="O32" s="112"/>
      <c r="P32" s="112"/>
      <c r="Q32" s="112"/>
      <c r="R32" s="112"/>
      <c r="S32" s="112"/>
      <c r="T32" s="112"/>
      <c r="U32" s="112"/>
      <c r="V32" s="148"/>
      <c r="W32" s="112"/>
      <c r="X32" s="149"/>
      <c r="Z32" s="150"/>
      <c r="AA32" s="150" t="str">
        <f t="shared" si="0"/>
        <v/>
      </c>
      <c r="AB32" s="150"/>
      <c r="AC32" s="150"/>
      <c r="AD32" s="42">
        <v>14</v>
      </c>
    </row>
    <row r="33" customFormat="1" ht="11.55" customHeight="1" spans="1:30">
      <c r="A33" s="45"/>
      <c r="B33" s="45"/>
      <c r="C33" s="45"/>
      <c r="D33" s="45"/>
      <c r="E33" s="45" t="s">
        <v>253</v>
      </c>
      <c r="F33" s="48"/>
      <c r="G33" s="49"/>
      <c r="H33" s="37"/>
      <c r="L33" s="117"/>
      <c r="M33" s="118"/>
      <c r="N33" s="112"/>
      <c r="O33" s="112"/>
      <c r="P33" s="112"/>
      <c r="Q33" s="112"/>
      <c r="R33" s="112"/>
      <c r="S33" s="112"/>
      <c r="T33" s="112"/>
      <c r="U33" s="112"/>
      <c r="V33" s="148"/>
      <c r="W33" s="112"/>
      <c r="X33" s="149"/>
      <c r="Y33" s="151"/>
      <c r="Z33" s="151"/>
      <c r="AA33" s="151"/>
      <c r="AB33" s="151"/>
      <c r="AC33" s="151"/>
      <c r="AD33">
        <v>11</v>
      </c>
    </row>
    <row r="34" ht="11.55" customHeight="1" spans="6:30">
      <c r="F34" s="37"/>
      <c r="G34" s="37"/>
      <c r="H34" s="37"/>
      <c r="I34" s="42"/>
      <c r="J34" s="42"/>
      <c r="K34" s="42"/>
      <c r="Y34" s="42"/>
      <c r="Z34" s="42"/>
      <c r="AA34" s="42"/>
      <c r="AB34" s="42"/>
      <c r="AC34" s="42"/>
      <c r="AD34" s="42">
        <v>11</v>
      </c>
    </row>
    <row r="35" ht="28.5" customHeight="1" spans="8:30">
      <c r="H35" s="37"/>
      <c r="L35" s="119" t="s">
        <v>813</v>
      </c>
      <c r="M35" s="119" t="s">
        <v>2249</v>
      </c>
      <c r="N35" s="119"/>
      <c r="O35" s="119"/>
      <c r="P35" s="119"/>
      <c r="Q35" s="119"/>
      <c r="R35" s="119"/>
      <c r="S35" s="119"/>
      <c r="T35" s="119"/>
      <c r="U35" s="119"/>
      <c r="V35" s="119"/>
      <c r="W35" s="119"/>
      <c r="X35" s="119"/>
      <c r="AD35" s="42">
        <v>27</v>
      </c>
    </row>
    <row r="36" ht="109.2" customHeight="1" spans="8:30">
      <c r="H36" s="37"/>
      <c r="M36" s="119" t="s">
        <v>2250</v>
      </c>
      <c r="N36" s="119"/>
      <c r="O36" s="119"/>
      <c r="P36" s="119"/>
      <c r="Q36" s="119"/>
      <c r="R36" s="119"/>
      <c r="S36" s="119"/>
      <c r="T36" s="119"/>
      <c r="U36" s="119"/>
      <c r="V36" s="119"/>
      <c r="W36" s="119"/>
      <c r="X36" s="119"/>
      <c r="AD36" s="42">
        <v>104</v>
      </c>
    </row>
    <row r="37" ht="14.7" customHeight="1" spans="8:30">
      <c r="H37" s="37"/>
      <c r="AD37" s="42">
        <v>14</v>
      </c>
    </row>
    <row r="38" ht="14.7" customHeight="1" spans="8:30">
      <c r="H38" s="37"/>
      <c r="AD38" s="42">
        <v>14</v>
      </c>
    </row>
    <row r="39" ht="14.7" customHeight="1" spans="8:30">
      <c r="H39" s="37"/>
      <c r="AD39" s="42">
        <v>14</v>
      </c>
    </row>
    <row r="40" ht="14.7" customHeight="1" spans="8:30">
      <c r="H40" s="37"/>
      <c r="AD40" s="42">
        <v>14</v>
      </c>
    </row>
    <row r="41" ht="22.5" hidden="1" customHeight="1" spans="1:30">
      <c r="A41" s="37" t="s">
        <v>83</v>
      </c>
      <c r="B41" s="37">
        <v>0</v>
      </c>
      <c r="C41" s="37">
        <v>0</v>
      </c>
      <c r="D41" s="37">
        <v>0</v>
      </c>
      <c r="E41" s="37">
        <v>0</v>
      </c>
      <c r="F41" s="38">
        <v>0</v>
      </c>
      <c r="G41" s="38">
        <v>0</v>
      </c>
      <c r="H41" s="38">
        <v>0</v>
      </c>
      <c r="I41" s="39">
        <v>3</v>
      </c>
      <c r="J41" s="40">
        <v>3</v>
      </c>
      <c r="K41" s="40">
        <v>3</v>
      </c>
      <c r="L41" s="41">
        <v>12</v>
      </c>
      <c r="M41" s="42">
        <v>31</v>
      </c>
      <c r="N41" s="42">
        <v>1</v>
      </c>
      <c r="O41" s="42">
        <v>24</v>
      </c>
      <c r="P41" s="42">
        <v>24</v>
      </c>
      <c r="Q41" s="42">
        <v>24</v>
      </c>
      <c r="R41" s="42">
        <v>24</v>
      </c>
      <c r="S41" s="42">
        <v>11</v>
      </c>
      <c r="T41" s="42">
        <v>3</v>
      </c>
      <c r="U41" s="42">
        <v>11</v>
      </c>
      <c r="V41" s="42">
        <v>8</v>
      </c>
      <c r="W41" s="42">
        <v>4</v>
      </c>
      <c r="X41" s="42">
        <v>115</v>
      </c>
      <c r="Y41" s="43">
        <v>10</v>
      </c>
      <c r="Z41" s="43">
        <v>10</v>
      </c>
      <c r="AA41" s="43">
        <v>10</v>
      </c>
      <c r="AB41" s="43">
        <v>10</v>
      </c>
      <c r="AC41" s="43">
        <v>10</v>
      </c>
      <c r="AD41" s="42">
        <v>23</v>
      </c>
    </row>
  </sheetData>
  <sheetProtection formatColumns="0" formatRows="0" insertRows="0" deleteColumns="0" deleteRows="0" sort="0" autoFilter="0"/>
  <mergeCells count="39">
    <mergeCell ref="L5:U5"/>
    <mergeCell ref="L6:U6"/>
    <mergeCell ref="O8:U8"/>
    <mergeCell ref="O9:U9"/>
    <mergeCell ref="O10:U10"/>
    <mergeCell ref="O11:U11"/>
    <mergeCell ref="L12:M12"/>
    <mergeCell ref="O13:V13"/>
    <mergeCell ref="L14:W14"/>
    <mergeCell ref="O15:U15"/>
    <mergeCell ref="Q16:R16"/>
    <mergeCell ref="S16:U16"/>
    <mergeCell ref="T17:U17"/>
    <mergeCell ref="T18:U18"/>
    <mergeCell ref="O19:W19"/>
    <mergeCell ref="O20:W20"/>
    <mergeCell ref="O21:W21"/>
    <mergeCell ref="O22:W22"/>
    <mergeCell ref="O23:W23"/>
    <mergeCell ref="O24:W24"/>
    <mergeCell ref="M35:X35"/>
    <mergeCell ref="M36:X36"/>
    <mergeCell ref="F23:F28"/>
    <mergeCell ref="G24:G27"/>
    <mergeCell ref="H25:H26"/>
    <mergeCell ref="I23:I28"/>
    <mergeCell ref="J24:J27"/>
    <mergeCell ref="L15:L17"/>
    <mergeCell ref="M15:M17"/>
    <mergeCell ref="O16:O17"/>
    <mergeCell ref="P16:P17"/>
    <mergeCell ref="S25:S26"/>
    <mergeCell ref="T25:T26"/>
    <mergeCell ref="U25:U26"/>
    <mergeCell ref="V15:V17"/>
    <mergeCell ref="V25:V26"/>
    <mergeCell ref="W15:W17"/>
    <mergeCell ref="X14:X17"/>
    <mergeCell ref="X25:X27"/>
  </mergeCells>
  <dataValidations count="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5 U25 S65561 U65561 S131097 U131097 S196633 U196633 S262169 U262169 S327705 U327705 S393241 U393241 S458777 U458777 S524313 U524313 S589849 U589849 S655385 U655385 S720921 U720921 S786457 U786457 S851993 U851993 S917529 U917529 S983065 U983065"/>
    <dataValidation allowBlank="1" showInputMessage="1" showErrorMessage="1" prompt="Для выбора выполните двойной щелчок левой клавиши мыши по соответствующей ячейке." sqref="T25 V25 T65561 V65561 T131097 V131097 T196633 V196633 T262169 V262169 T327705 V327705 T393241 V393241 T458777 V458777 T524313 V524313 T589849 V589849 T655385 V655385 T720921 V720921 T786457 V786457 T851993 V851993 T917529 V917529 T983065 V983065"/>
    <dataValidation allowBlank="1" promptTitle="checkPeriodRange" sqref="R26 R65562 R131098 R196634 R262170 R327706 R393242 R458778 R524314 R589850 R655386 R720922 R786458 R851994 R917530 R983066"/>
    <dataValidation type="list" allowBlank="1" showInputMessage="1" showErrorMessage="1" errorTitle="Ошибка" error="Выберите значение из списка" sqref="O65559:P65559 O131095:P131095 O196631:P196631 O262167:P262167 O327703:P327703 O393239:P393239 O458775:P458775 O524311:P524311 O589847:P589847 O655383:P655383 O720919:P720919 O786455:P786455 O851991:P851991 O917527:P917527 O983063:P983063">
      <formula1>kind_of_scheme_in</formula1>
    </dataValidation>
    <dataValidation type="list" allowBlank="1" showInputMessage="1" errorTitle="Ошибка" error="Выберите значение из списка" prompt="Выберите значение из списка" sqref="O65560:W65560 O131096:W131096 O196632:W196632 O262168:W262168 O327704:W327704 O393240:W393240 O458776:W458776 O524312:W524312 O589848:W589848 O655384:W655384 O720920:W720920 O786456:W786456 O851992:W851992 O917528:W917528 O983064:W983064">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allowBlank="1" sqref="L131099:X131105 L589851:X589857 L196635:X196641 L655387:X655393 L262171:X262177 L720923:X720929 L327707:X327713 L786459:X786465 L393243:X393249 L851995:X852001 L458779:X458785 L917531:X917537 L65563:X65569 L524315:X524321 L983067:X983073"/>
  </dataValidations>
  <pageMargins left="0.7" right="0.7" top="0.75" bottom="0.75" header="0.3" footer="0.3"/>
  <pageSetup paperSize="1" orientation="portrait"/>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J60"/>
  <sheetViews>
    <sheetView showGridLines="0" zoomScale="90" zoomScaleNormal="90" workbookViewId="0">
      <pane xSplit="5" ySplit="12" topLeftCell="F13" activePane="bottomRight" state="frozen"/>
      <selection/>
      <selection pane="topRight"/>
      <selection pane="bottomLeft"/>
      <selection pane="bottomRight" activeCell="A1" sqref="A1"/>
    </sheetView>
  </sheetViews>
  <sheetFormatPr defaultColWidth="9.14285714285714" defaultRowHeight="11.25" customHeight="1"/>
  <cols>
    <col min="1" max="1" width="15" style="561" hidden="1" customWidth="1"/>
    <col min="2" max="2" width="15" style="648" hidden="1" customWidth="1"/>
    <col min="3" max="3" width="3" style="206" customWidth="1"/>
    <col min="4" max="4" width="6" style="649" customWidth="1"/>
    <col min="5" max="5" width="52" style="206" customWidth="1"/>
    <col min="6" max="6" width="48" style="206" customWidth="1"/>
    <col min="7" max="7" width="121" style="206" customWidth="1"/>
    <col min="8" max="8" width="8" style="206" customWidth="1"/>
    <col min="9" max="9" width="64" style="206" customWidth="1"/>
    <col min="10" max="10" width="9.14285714285714" style="206" hidden="1"/>
  </cols>
  <sheetData>
    <row r="1" hidden="1" customHeight="1" spans="1:10">
      <c r="A1" s="561" t="s">
        <v>304</v>
      </c>
      <c r="J1" s="206" t="s">
        <v>14</v>
      </c>
    </row>
    <row r="2" hidden="1" customHeight="1" spans="10:10">
      <c r="J2" s="206">
        <v>0</v>
      </c>
    </row>
    <row r="3" s="646" customFormat="1" ht="11.55" customHeight="1" spans="1:10">
      <c r="A3" s="561"/>
      <c r="B3" s="648"/>
      <c r="D3" s="1221"/>
      <c r="J3" s="646">
        <v>11</v>
      </c>
    </row>
    <row r="4" ht="27.3" customHeight="1" spans="4:10">
      <c r="D4" s="767" t="str">
        <f>ORG_INFO_NAME_FORM</f>
        <v>Форма 1. Информация об организации, осуществляющей холодное водоснабжение (общая информация)</v>
      </c>
      <c r="E4" s="768"/>
      <c r="F4" s="769"/>
      <c r="I4" s="681"/>
      <c r="J4" s="206">
        <v>26</v>
      </c>
    </row>
    <row r="5" ht="18" customHeight="1" spans="4:10">
      <c r="D5" s="657" t="str">
        <f>IF(org=0,"Не определено",org)</f>
        <v>АО "ОЭЗ ППТ "Алабуга"</v>
      </c>
      <c r="E5" s="657"/>
      <c r="F5" s="657"/>
      <c r="I5" s="681"/>
      <c r="J5" s="206">
        <v>17</v>
      </c>
    </row>
    <row r="6" s="646" customFormat="1" ht="11.55" customHeight="1" spans="1:10">
      <c r="A6" s="561"/>
      <c r="B6" s="648"/>
      <c r="D6" s="658"/>
      <c r="E6" s="658"/>
      <c r="F6" s="574"/>
      <c r="G6" s="658"/>
      <c r="J6" s="646">
        <v>11</v>
      </c>
    </row>
    <row r="7" hidden="1" customHeight="1" spans="1:10">
      <c r="A7" s="52"/>
      <c r="B7" s="246"/>
      <c r="C7" s="52"/>
      <c r="D7" s="659"/>
      <c r="E7" s="660"/>
      <c r="F7" s="660"/>
      <c r="J7" s="206">
        <v>0</v>
      </c>
    </row>
    <row r="8" ht="11.55" customHeight="1" spans="1:10">
      <c r="A8" s="52"/>
      <c r="B8" s="246"/>
      <c r="C8" s="52"/>
      <c r="D8" s="294" t="s">
        <v>305</v>
      </c>
      <c r="E8" s="661"/>
      <c r="F8" s="661"/>
      <c r="G8" s="662" t="s">
        <v>306</v>
      </c>
      <c r="J8" s="206">
        <v>11</v>
      </c>
    </row>
    <row r="9" ht="11.55" customHeight="1" spans="1:10">
      <c r="A9" s="52"/>
      <c r="B9" s="246"/>
      <c r="C9" s="52"/>
      <c r="D9" s="661" t="s">
        <v>89</v>
      </c>
      <c r="E9" s="662" t="s">
        <v>307</v>
      </c>
      <c r="F9" s="662" t="s">
        <v>308</v>
      </c>
      <c r="G9" s="65"/>
      <c r="J9" s="206">
        <v>11</v>
      </c>
    </row>
    <row r="10" ht="12" hidden="1" customHeight="1" spans="1:10">
      <c r="A10" s="52"/>
      <c r="B10" s="246"/>
      <c r="C10" s="52"/>
      <c r="D10" s="663"/>
      <c r="E10" s="663"/>
      <c r="F10" s="663"/>
      <c r="G10" s="663"/>
      <c r="J10" s="206">
        <v>0</v>
      </c>
    </row>
    <row r="11" ht="22.5" hidden="1" customHeight="1" spans="1:10">
      <c r="A11" s="52"/>
      <c r="B11" s="246"/>
      <c r="C11" s="52"/>
      <c r="D11" s="1222" t="s">
        <v>111</v>
      </c>
      <c r="E11" s="393" t="s">
        <v>309</v>
      </c>
      <c r="F11" s="329" t="str">
        <f>IF(region_name="","",region_name)</f>
        <v>Республика Татарстан</v>
      </c>
      <c r="G11" s="393" t="s">
        <v>310</v>
      </c>
      <c r="H11" s="244"/>
      <c r="J11" s="206">
        <v>0</v>
      </c>
    </row>
    <row r="12" ht="22.5" hidden="1" customHeight="1" spans="1:10">
      <c r="A12" s="52"/>
      <c r="B12" s="246"/>
      <c r="C12" s="52"/>
      <c r="D12" s="248" t="s">
        <v>111</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130" t="s">
        <v>311</v>
      </c>
      <c r="G12" s="253"/>
      <c r="H12" s="244"/>
      <c r="J12" s="206">
        <v>0</v>
      </c>
    </row>
    <row r="13" ht="23.25" customHeight="1" spans="1:10">
      <c r="A13" s="52"/>
      <c r="B13" s="246"/>
      <c r="C13" s="52"/>
      <c r="D13" s="248" t="s">
        <v>111</v>
      </c>
      <c r="E13" s="249" t="str">
        <f>"Наименование юридического лица"&amp;IF(TEMPLATE_SPHERE="TKO"," (индивидуального предпринимателя)","")</f>
        <v>Наименование юридического лица</v>
      </c>
      <c r="F13" s="252"/>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44"/>
      <c r="J13" s="206">
        <v>22</v>
      </c>
    </row>
    <row r="14" ht="22.5" hidden="1" customHeight="1" spans="1:10">
      <c r="A14" s="52"/>
      <c r="B14" s="246"/>
      <c r="C14" s="52"/>
      <c r="D14" s="1222" t="s">
        <v>312</v>
      </c>
      <c r="E14" s="1223" t="s">
        <v>313</v>
      </c>
      <c r="F14" s="329" t="str">
        <f>IF(inn="","",inn)</f>
        <v>1646019914</v>
      </c>
      <c r="G14" s="393" t="s">
        <v>314</v>
      </c>
      <c r="H14" s="244"/>
      <c r="J14" s="206">
        <v>0</v>
      </c>
    </row>
    <row r="15" ht="22.5" hidden="1" customHeight="1" spans="1:10">
      <c r="A15" s="52"/>
      <c r="B15" s="246"/>
      <c r="C15" s="52"/>
      <c r="D15" s="1222" t="s">
        <v>315</v>
      </c>
      <c r="E15" s="1223" t="s">
        <v>316</v>
      </c>
      <c r="F15" s="329" t="str">
        <f>IF(kpp="","",kpp)</f>
        <v>164601001</v>
      </c>
      <c r="G15" s="393" t="s">
        <v>317</v>
      </c>
      <c r="H15" s="244"/>
      <c r="J15" s="206">
        <v>0</v>
      </c>
    </row>
    <row r="16" ht="39" customHeight="1" spans="1:10">
      <c r="A16" s="52"/>
      <c r="B16" s="246"/>
      <c r="C16" s="52"/>
      <c r="D16" s="248" t="s">
        <v>112</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52"/>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44"/>
      <c r="J16" s="206">
        <v>37</v>
      </c>
    </row>
    <row r="17" ht="23.25" customHeight="1" spans="1:10">
      <c r="A17" s="52"/>
      <c r="B17" s="246"/>
      <c r="C17" s="52"/>
      <c r="D17" s="248" t="s">
        <v>91</v>
      </c>
      <c r="E17" s="249" t="str">
        <f>"Дата присвоения ОГРН"&amp;IF(TEMPLATE_SPHERE="TKO",""," (ОГРНИП)")</f>
        <v>Дата присвоения ОГРН (ОГРНИП)</v>
      </c>
      <c r="F17" s="254" t="s">
        <v>28</v>
      </c>
      <c r="G17" s="250" t="str">
        <f>"Дата присвоения ОГРН"&amp;IF(TEMPLATE_SPHERE="TKO",""," (ОГРНИП)")&amp;" указывается в виде «ДД.ММ.ГГГГ»."</f>
        <v>Дата присвоения ОГРН (ОГРНИП) указывается в виде «ДД.ММ.ГГГГ».</v>
      </c>
      <c r="H17" s="244"/>
      <c r="J17" s="206">
        <v>22</v>
      </c>
    </row>
    <row r="18" ht="71.25" customHeight="1" spans="1:10">
      <c r="A18" s="52"/>
      <c r="B18" s="246"/>
      <c r="C18" s="52"/>
      <c r="D18" s="248" t="s">
        <v>92</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52"/>
      <c r="G18" s="253"/>
      <c r="H18" s="244"/>
      <c r="J18" s="206">
        <v>68</v>
      </c>
    </row>
    <row r="19" ht="22.5" hidden="1" customHeight="1" spans="1:10">
      <c r="A19" s="239" t="s">
        <v>318</v>
      </c>
      <c r="B19" s="246"/>
      <c r="C19" s="247"/>
      <c r="D19" s="248" t="str">
        <f>A19</f>
        <v>5.1</v>
      </c>
      <c r="E19" s="249" t="s">
        <v>319</v>
      </c>
      <c r="F19" s="130" t="s">
        <v>311</v>
      </c>
      <c r="G19" s="250" t="s">
        <v>320</v>
      </c>
      <c r="H19" s="244"/>
      <c r="I19" s="280"/>
      <c r="J19" s="206">
        <v>0</v>
      </c>
    </row>
    <row r="20" ht="24" hidden="1" customHeight="1" spans="1:10">
      <c r="A20" s="239"/>
      <c r="B20" s="246"/>
      <c r="C20" s="247"/>
      <c r="D20" s="241" t="str">
        <f>D19&amp;".1"</f>
        <v>5.1.1</v>
      </c>
      <c r="E20" s="251" t="s">
        <v>321</v>
      </c>
      <c r="F20" s="879" t="s">
        <v>28</v>
      </c>
      <c r="G20" s="253"/>
      <c r="H20" s="244"/>
      <c r="I20" s="280"/>
      <c r="J20" s="206">
        <v>0</v>
      </c>
    </row>
    <row r="21" ht="22.5" hidden="1" customHeight="1" spans="1:10">
      <c r="A21" s="239"/>
      <c r="B21" s="246"/>
      <c r="C21" s="247"/>
      <c r="D21" s="241" t="str">
        <f>D19&amp;".2"</f>
        <v>5.1.2</v>
      </c>
      <c r="E21" s="251" t="s">
        <v>322</v>
      </c>
      <c r="F21" s="622" t="s">
        <v>28</v>
      </c>
      <c r="G21" s="250" t="s">
        <v>323</v>
      </c>
      <c r="H21" s="244"/>
      <c r="I21" s="280"/>
      <c r="J21" s="206">
        <v>0</v>
      </c>
    </row>
    <row r="22" ht="22.5" hidden="1" customHeight="1" spans="1:10">
      <c r="A22" s="239"/>
      <c r="B22" s="246"/>
      <c r="C22" s="247"/>
      <c r="D22" s="241" t="str">
        <f>D19&amp;".3"</f>
        <v>5.1.3</v>
      </c>
      <c r="E22" s="251" t="s">
        <v>324</v>
      </c>
      <c r="F22" s="879" t="s">
        <v>28</v>
      </c>
      <c r="G22" s="253"/>
      <c r="H22" s="244"/>
      <c r="I22" s="280"/>
      <c r="J22" s="206">
        <v>0</v>
      </c>
    </row>
    <row r="23" ht="22.5" hidden="1" customHeight="1" spans="1:10">
      <c r="A23" s="239"/>
      <c r="B23" s="246"/>
      <c r="C23" s="247"/>
      <c r="D23" s="241" t="str">
        <f>D19&amp;".4"</f>
        <v>5.1.4</v>
      </c>
      <c r="E23" s="251" t="s">
        <v>325</v>
      </c>
      <c r="F23" s="879" t="s">
        <v>28</v>
      </c>
      <c r="G23" s="250" t="s">
        <v>326</v>
      </c>
      <c r="H23" s="244"/>
      <c r="I23" s="280"/>
      <c r="J23" s="206">
        <v>0</v>
      </c>
    </row>
    <row r="24" ht="22.5" hidden="1" customHeight="1" spans="1:10">
      <c r="A24" s="1224"/>
      <c r="B24" s="246"/>
      <c r="C24" s="601"/>
      <c r="D24" s="674"/>
      <c r="E24" s="226" t="s">
        <v>327</v>
      </c>
      <c r="F24" s="1225"/>
      <c r="G24" s="675"/>
      <c r="H24" s="244"/>
      <c r="I24" s="280"/>
      <c r="J24" s="206">
        <v>0</v>
      </c>
    </row>
    <row r="25" s="648" customFormat="1" ht="24.75" hidden="1" customHeight="1" spans="1:10">
      <c r="A25" s="52"/>
      <c r="B25" s="246"/>
      <c r="C25" s="246"/>
      <c r="D25" s="1226" t="s">
        <v>91</v>
      </c>
      <c r="E25" s="1227" t="s">
        <v>328</v>
      </c>
      <c r="F25" s="672" t="s">
        <v>311</v>
      </c>
      <c r="G25" s="1227"/>
      <c r="J25" s="648">
        <v>0</v>
      </c>
    </row>
    <row r="26" s="648" customFormat="1" hidden="1" customHeight="1" spans="1:10">
      <c r="A26" s="52"/>
      <c r="B26" s="246"/>
      <c r="C26" s="246"/>
      <c r="D26" s="1226" t="s">
        <v>329</v>
      </c>
      <c r="E26" s="1228" t="s">
        <v>330</v>
      </c>
      <c r="F26" s="672" t="s">
        <v>311</v>
      </c>
      <c r="G26" s="1227"/>
      <c r="J26" s="648">
        <v>0</v>
      </c>
    </row>
    <row r="27" s="648" customFormat="1" hidden="1" customHeight="1" spans="1:10">
      <c r="A27" s="52"/>
      <c r="B27" s="246"/>
      <c r="C27" s="246"/>
      <c r="D27" s="1226" t="s">
        <v>331</v>
      </c>
      <c r="E27" s="671" t="s">
        <v>332</v>
      </c>
      <c r="F27" s="1229"/>
      <c r="G27" s="122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648">
        <v>0</v>
      </c>
    </row>
    <row r="28" s="648" customFormat="1" hidden="1" customHeight="1" spans="1:10">
      <c r="A28" s="52"/>
      <c r="B28" s="246"/>
      <c r="C28" s="246"/>
      <c r="D28" s="1226" t="s">
        <v>333</v>
      </c>
      <c r="E28" s="671" t="s">
        <v>334</v>
      </c>
      <c r="F28" s="1229"/>
      <c r="G28" s="122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648">
        <v>0</v>
      </c>
    </row>
    <row r="29" s="648" customFormat="1" hidden="1" customHeight="1" spans="1:10">
      <c r="A29" s="52"/>
      <c r="B29" s="246"/>
      <c r="C29" s="246"/>
      <c r="D29" s="1226" t="s">
        <v>335</v>
      </c>
      <c r="E29" s="671" t="s">
        <v>336</v>
      </c>
      <c r="F29" s="1229"/>
      <c r="G29" s="122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648">
        <v>0</v>
      </c>
    </row>
    <row r="30" s="648" customFormat="1" hidden="1" customHeight="1" spans="1:10">
      <c r="A30" s="52"/>
      <c r="B30" s="246"/>
      <c r="C30" s="246"/>
      <c r="D30" s="1226" t="s">
        <v>337</v>
      </c>
      <c r="E30" s="1228" t="s">
        <v>338</v>
      </c>
      <c r="F30" s="1229"/>
      <c r="G30" s="1227"/>
      <c r="J30" s="648">
        <v>0</v>
      </c>
    </row>
    <row r="31" s="648" customFormat="1" hidden="1" customHeight="1" spans="1:10">
      <c r="A31" s="52"/>
      <c r="B31" s="246"/>
      <c r="C31" s="246"/>
      <c r="D31" s="1226" t="s">
        <v>339</v>
      </c>
      <c r="E31" s="1228" t="s">
        <v>340</v>
      </c>
      <c r="F31" s="1229"/>
      <c r="G31" s="1227"/>
      <c r="J31" s="648">
        <v>0</v>
      </c>
    </row>
    <row r="32" s="648" customFormat="1" hidden="1" customHeight="1" spans="1:10">
      <c r="A32" s="52"/>
      <c r="B32" s="246"/>
      <c r="C32" s="246"/>
      <c r="D32" s="1226" t="s">
        <v>341</v>
      </c>
      <c r="E32" s="1228" t="s">
        <v>342</v>
      </c>
      <c r="F32" s="1229"/>
      <c r="G32" s="1227"/>
      <c r="J32" s="648">
        <v>0</v>
      </c>
    </row>
    <row r="33" ht="24" customHeight="1" spans="1:10">
      <c r="A33" s="52" t="str">
        <f>IF(TEMPLATE_SPHERE="HEAT","6","5")</f>
        <v>5</v>
      </c>
      <c r="B33" s="246"/>
      <c r="C33" s="52"/>
      <c r="D33" s="241" t="str">
        <f>A33</f>
        <v>5</v>
      </c>
      <c r="E33" s="123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130" t="s">
        <v>311</v>
      </c>
      <c r="G33" s="253"/>
      <c r="H33" s="244"/>
      <c r="J33" s="206">
        <v>23</v>
      </c>
    </row>
    <row r="34" ht="23.25" customHeight="1" spans="1:10">
      <c r="A34" s="52"/>
      <c r="B34" s="246"/>
      <c r="C34" s="52"/>
      <c r="D34" s="241" t="str">
        <f>D33&amp;".1"</f>
        <v>5.1</v>
      </c>
      <c r="E34" s="249" t="str">
        <f>"фамилия"&amp;IF(TEMPLATE_SPHERE&lt;&gt;"HEAT"," руководителя","")</f>
        <v>фамилия руководителя</v>
      </c>
      <c r="F34" s="252"/>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44"/>
      <c r="J34" s="206">
        <v>22</v>
      </c>
    </row>
    <row r="35" ht="23.25" customHeight="1" spans="1:10">
      <c r="A35" s="52"/>
      <c r="B35" s="246"/>
      <c r="C35" s="52"/>
      <c r="D35" s="241" t="str">
        <f>D33&amp;".2"</f>
        <v>5.2</v>
      </c>
      <c r="E35" s="249" t="str">
        <f>"имя"&amp;IF(TEMPLATE_SPHERE&lt;&gt;"HEAT"," руководителя","")</f>
        <v>имя руководителя</v>
      </c>
      <c r="F35" s="252"/>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44"/>
      <c r="J35" s="206">
        <v>22</v>
      </c>
    </row>
    <row r="36" ht="24" customHeight="1" spans="1:10">
      <c r="A36" s="52"/>
      <c r="B36" s="246"/>
      <c r="C36" s="52"/>
      <c r="D36" s="241" t="str">
        <f>D33&amp;".3"</f>
        <v>5.3</v>
      </c>
      <c r="E36" s="249" t="str">
        <f>"отчество"&amp;IF(TEMPLATE_SPHERE&lt;&gt;"HEAT"," руководителя","")</f>
        <v>отчество руководителя</v>
      </c>
      <c r="F36" s="260"/>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44"/>
      <c r="J36" s="206">
        <v>23</v>
      </c>
    </row>
    <row r="37" ht="35.7" customHeight="1" spans="1:10">
      <c r="A37" s="52"/>
      <c r="B37" s="246"/>
      <c r="C37" s="52"/>
      <c r="D37" s="241">
        <f>D33+1</f>
        <v>6</v>
      </c>
      <c r="E37" s="123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52"/>
      <c r="G37" s="250" t="s">
        <v>343</v>
      </c>
      <c r="H37" s="244"/>
      <c r="J37" s="206">
        <v>34</v>
      </c>
    </row>
    <row r="38" ht="35.7" customHeight="1" spans="1:10">
      <c r="A38" s="52"/>
      <c r="B38" s="246"/>
      <c r="C38" s="52"/>
      <c r="D38" s="241">
        <f>D37+1</f>
        <v>7</v>
      </c>
      <c r="E38" s="123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52"/>
      <c r="G38" s="250" t="s">
        <v>343</v>
      </c>
      <c r="H38" s="244"/>
      <c r="J38" s="206">
        <v>34</v>
      </c>
    </row>
    <row r="39" ht="23.25" customHeight="1" spans="1:10">
      <c r="A39" s="52"/>
      <c r="B39" s="246"/>
      <c r="C39" s="52"/>
      <c r="D39" s="241">
        <f>D38+1</f>
        <v>8</v>
      </c>
      <c r="E39" s="123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130" t="s">
        <v>311</v>
      </c>
      <c r="G39" s="123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44"/>
      <c r="J39" s="206">
        <v>22</v>
      </c>
    </row>
    <row r="40" ht="22.5" hidden="1" customHeight="1" spans="1:10">
      <c r="A40" s="52"/>
      <c r="B40" s="246"/>
      <c r="C40" s="52"/>
      <c r="D40" s="241" t="str">
        <f>D39&amp;".0"</f>
        <v>8.0</v>
      </c>
      <c r="E40" s="877"/>
      <c r="F40" s="879"/>
      <c r="G40" s="1233"/>
      <c r="H40" s="244"/>
      <c r="J40" s="206">
        <v>0</v>
      </c>
    </row>
    <row r="41" ht="23.25" customHeight="1" spans="1:10">
      <c r="A41" s="52"/>
      <c r="B41" s="52"/>
      <c r="C41" s="210"/>
      <c r="D41" s="241" t="str">
        <f>D39&amp;".1"</f>
        <v>8.1</v>
      </c>
      <c r="E41" s="242"/>
      <c r="F41" s="245"/>
      <c r="G41" s="1233"/>
      <c r="H41" s="244"/>
      <c r="J41" s="206">
        <v>22</v>
      </c>
    </row>
    <row r="42" ht="15.75" customHeight="1" spans="1:10">
      <c r="A42" s="52"/>
      <c r="B42" s="246"/>
      <c r="C42" s="52"/>
      <c r="D42" s="674"/>
      <c r="E42" s="226" t="s">
        <v>344</v>
      </c>
      <c r="F42" s="675"/>
      <c r="G42" s="1234"/>
      <c r="H42" s="1235"/>
      <c r="J42" s="206">
        <v>15</v>
      </c>
    </row>
    <row r="43" ht="27.3" customHeight="1" spans="1:10">
      <c r="A43" s="52"/>
      <c r="B43" s="246"/>
      <c r="C43" s="52"/>
      <c r="D43" s="241">
        <f>D39+1</f>
        <v>9</v>
      </c>
      <c r="E43" s="123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212"/>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44"/>
      <c r="J43" s="206">
        <v>26</v>
      </c>
    </row>
    <row r="44" ht="23.25" customHeight="1" spans="1:10">
      <c r="A44" s="52"/>
      <c r="B44" s="246"/>
      <c r="C44" s="52"/>
      <c r="D44" s="241">
        <f>D43+1</f>
        <v>10</v>
      </c>
      <c r="E44" s="123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14"/>
      <c r="G44" s="253" t="s">
        <v>345</v>
      </c>
      <c r="H44" s="244"/>
      <c r="J44" s="206">
        <v>22</v>
      </c>
    </row>
    <row r="45" ht="23.25" customHeight="1" spans="1:10">
      <c r="A45" s="52"/>
      <c r="B45" s="246"/>
      <c r="C45" s="52"/>
      <c r="D45" s="241">
        <f>D44+1</f>
        <v>11</v>
      </c>
      <c r="E45" s="1230" t="s">
        <v>346</v>
      </c>
      <c r="F45" s="130" t="s">
        <v>311</v>
      </c>
      <c r="G45" s="1231" t="str">
        <f>IF(TEMPLATE_SPHERE="TKO","Указывается режим работы организации.","")</f>
        <v/>
      </c>
      <c r="H45" s="244"/>
      <c r="J45" s="206">
        <v>22</v>
      </c>
    </row>
    <row r="46" ht="24" customHeight="1" spans="1:10">
      <c r="A46" s="52"/>
      <c r="B46" s="246"/>
      <c r="C46" s="52"/>
      <c r="D46" s="241" t="str">
        <f>D45&amp;".1"</f>
        <v>11.1</v>
      </c>
      <c r="E46" s="249" t="str">
        <f>"режим работы регулируемой организации"&amp;IF(TEMPLATE_SPHERE="HEAT",", ЕТО, ТО","")</f>
        <v>режим работы регулируемой организации</v>
      </c>
      <c r="F46" s="374"/>
      <c r="G46" s="1231" t="s">
        <v>347</v>
      </c>
      <c r="H46" s="244"/>
      <c r="J46" s="206">
        <v>23</v>
      </c>
    </row>
    <row r="47" ht="24" customHeight="1" spans="1:10">
      <c r="A47" s="239"/>
      <c r="B47" s="246"/>
      <c r="C47" s="601"/>
      <c r="D47" s="241" t="str">
        <f>D45&amp;".2"</f>
        <v>11.2</v>
      </c>
      <c r="E47" s="249" t="s">
        <v>348</v>
      </c>
      <c r="F47" s="374"/>
      <c r="G47" s="1231" t="s">
        <v>349</v>
      </c>
      <c r="H47" s="244"/>
      <c r="J47" s="206">
        <v>23</v>
      </c>
    </row>
    <row r="48" ht="24" customHeight="1" spans="1:10">
      <c r="A48" s="239"/>
      <c r="B48" s="246"/>
      <c r="C48" s="601"/>
      <c r="D48" s="241" t="str">
        <f>D45&amp;".3"</f>
        <v>11.3</v>
      </c>
      <c r="E48" s="249" t="s">
        <v>350</v>
      </c>
      <c r="F48" s="374"/>
      <c r="G48" s="1231" t="s">
        <v>351</v>
      </c>
      <c r="H48" s="244"/>
      <c r="J48" s="206">
        <v>23</v>
      </c>
    </row>
    <row r="49" ht="24" customHeight="1" spans="1:10">
      <c r="A49" s="239"/>
      <c r="B49" s="246"/>
      <c r="C49" s="601"/>
      <c r="D49" s="241" t="str">
        <f>IF(TEMPLATE_SPHERE="TKO",D45&amp;".0",D45&amp;".4")</f>
        <v>11.4</v>
      </c>
      <c r="E49" s="1236" t="s">
        <v>352</v>
      </c>
      <c r="F49" s="243"/>
      <c r="G49" s="1237" t="s">
        <v>353</v>
      </c>
      <c r="H49" s="244"/>
      <c r="J49" s="206">
        <v>23</v>
      </c>
    </row>
    <row r="50" ht="24" customHeight="1" spans="1:10">
      <c r="A50" s="52"/>
      <c r="B50" s="246"/>
      <c r="C50" s="52"/>
      <c r="D50" s="674"/>
      <c r="E50" s="226" t="s">
        <v>354</v>
      </c>
      <c r="F50" s="1225"/>
      <c r="G50" s="1237" t="s">
        <v>355</v>
      </c>
      <c r="H50" s="1235"/>
      <c r="J50" s="206">
        <v>23</v>
      </c>
    </row>
    <row r="51" ht="24" customHeight="1" spans="1:10">
      <c r="A51" s="239"/>
      <c r="B51" s="246"/>
      <c r="C51" s="601"/>
      <c r="D51" s="241">
        <f>D45+1</f>
        <v>12</v>
      </c>
      <c r="E51" s="1238" t="s">
        <v>356</v>
      </c>
      <c r="F51" s="374"/>
      <c r="G51" s="123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44"/>
      <c r="J51" s="206">
        <v>23</v>
      </c>
    </row>
    <row r="52" ht="11.55" customHeight="1" spans="1:10">
      <c r="A52" s="52"/>
      <c r="B52" s="246"/>
      <c r="C52" s="52"/>
      <c r="J52" s="206">
        <v>11</v>
      </c>
    </row>
    <row r="53" s="1220" customFormat="1" ht="31.5" customHeight="1" spans="1:10">
      <c r="A53" s="784"/>
      <c r="B53" s="43"/>
      <c r="C53" s="993"/>
      <c r="D53" s="12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40"/>
      <c r="F53" s="1240"/>
      <c r="G53" s="1240"/>
      <c r="H53" s="638"/>
      <c r="I53" s="638"/>
      <c r="J53" s="1220">
        <v>30</v>
      </c>
    </row>
    <row r="54" s="1220" customFormat="1" ht="42" customHeight="1" spans="1:10">
      <c r="A54" s="52"/>
      <c r="B54" s="246"/>
      <c r="C54" s="993"/>
      <c r="D54" s="124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40"/>
      <c r="F54" s="1240"/>
      <c r="G54" s="1240"/>
      <c r="J54" s="1220">
        <v>40</v>
      </c>
    </row>
    <row r="55" ht="11.55" customHeight="1" spans="4:10">
      <c r="D55" s="1241"/>
      <c r="E55" s="1242"/>
      <c r="F55" s="1242"/>
      <c r="G55" s="1242"/>
      <c r="J55" s="206">
        <v>11</v>
      </c>
    </row>
    <row r="56" ht="28.5" customHeight="1" spans="4:10">
      <c r="D56" s="1243"/>
      <c r="E56" s="1241"/>
      <c r="F56" s="1244"/>
      <c r="G56" s="1244"/>
      <c r="J56" s="206">
        <v>27</v>
      </c>
    </row>
    <row r="57" ht="11.55" customHeight="1" spans="4:10">
      <c r="D57" s="1241"/>
      <c r="E57" s="1241"/>
      <c r="F57" s="1242"/>
      <c r="G57" s="1242"/>
      <c r="J57" s="206">
        <v>11</v>
      </c>
    </row>
    <row r="58" ht="40.95" customHeight="1" spans="4:10">
      <c r="D58" s="1245"/>
      <c r="E58" s="1246"/>
      <c r="F58" s="1246"/>
      <c r="G58" s="1246"/>
      <c r="J58" s="206">
        <v>39</v>
      </c>
    </row>
    <row r="59" ht="28.5" customHeight="1" spans="4:10">
      <c r="D59" s="1245"/>
      <c r="E59" s="1246"/>
      <c r="F59" s="1246"/>
      <c r="G59" s="1246"/>
      <c r="J59" s="206">
        <v>27</v>
      </c>
    </row>
    <row r="60" hidden="1" customHeight="1" spans="1:10">
      <c r="A60" s="561" t="s">
        <v>83</v>
      </c>
      <c r="B60" s="648">
        <v>0</v>
      </c>
      <c r="C60" s="206">
        <v>3</v>
      </c>
      <c r="D60" s="649">
        <v>6</v>
      </c>
      <c r="E60" s="206">
        <v>52</v>
      </c>
      <c r="F60" s="206">
        <v>48</v>
      </c>
      <c r="G60" s="206">
        <v>121</v>
      </c>
      <c r="H60" s="206">
        <v>8</v>
      </c>
      <c r="I60" s="206">
        <v>64</v>
      </c>
      <c r="J60" s="206">
        <v>11</v>
      </c>
    </row>
  </sheetData>
  <sheetProtection formatColumns="0" formatRows="0" insertRows="0" deleteColumns="0" deleteRows="0" sort="0" autoFilter="0"/>
  <mergeCells count="12">
    <mergeCell ref="D4:F4"/>
    <mergeCell ref="D5:F5"/>
    <mergeCell ref="E7:F7"/>
    <mergeCell ref="D8:F8"/>
    <mergeCell ref="D53:G53"/>
    <mergeCell ref="D54:G54"/>
    <mergeCell ref="A19:A23"/>
    <mergeCell ref="A47:A49"/>
    <mergeCell ref="C19:C23"/>
    <mergeCell ref="C53:C54"/>
    <mergeCell ref="G8:G9"/>
    <mergeCell ref="G39:G42"/>
  </mergeCells>
  <dataValidations count="3">
    <dataValidation type="textLength" operator="lessThanOrEqual" allowBlank="1" showInputMessage="1" showErrorMessage="1" errorTitle="Ошибка" error="Допускается ввод не более 900 символов!" sqref="F13 F16 F18 F20 F22:F23 F27:F32 F34:F38 F43:F44 E40:F4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7 F21"/>
    <dataValidation type="list" allowBlank="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showDropDown="1">
      <formula1>"a"</formula1>
    </dataValidation>
  </dataValidations>
  <pageMargins left="0.7" right="0.7" top="0.75" bottom="0.75" header="0.3" footer="0.3"/>
  <pageSetup paperSize="9" orientation="portrait"/>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8"/>
  <sheetViews>
    <sheetView showGridLines="0" workbookViewId="0">
      <selection activeCell="A1" sqref="A1"/>
    </sheetView>
  </sheetViews>
  <sheetFormatPr defaultColWidth="9" defaultRowHeight="11.25" customHeight="1" outlineLevelRow="7" outlineLevelCol="4"/>
  <cols>
    <col min="1" max="1" width="10.5714285714286" customWidth="1"/>
    <col min="2" max="2" width="8.71428571428571" customWidth="1"/>
    <col min="3" max="3" width="18.1428571428571" customWidth="1"/>
    <col min="4" max="4" width="12.5714285714286" customWidth="1"/>
  </cols>
  <sheetData>
    <row r="1" customHeight="1" spans="1:5">
      <c r="A1" s="17" t="s">
        <v>2251</v>
      </c>
      <c r="B1" s="18" t="s">
        <v>2252</v>
      </c>
      <c r="C1" s="19" t="s">
        <v>2253</v>
      </c>
      <c r="D1" s="20"/>
      <c r="E1" s="21" t="s">
        <v>2254</v>
      </c>
    </row>
    <row r="2" customHeight="1" spans="1:5">
      <c r="A2" s="22"/>
      <c r="B2" s="23" t="s">
        <v>26</v>
      </c>
      <c r="C2" s="21"/>
      <c r="D2" s="24"/>
      <c r="E2" s="21"/>
    </row>
    <row r="3" customHeight="1" spans="1:5">
      <c r="A3" s="25"/>
      <c r="B3" s="26" t="s">
        <v>33</v>
      </c>
      <c r="C3" s="21"/>
      <c r="D3" s="24"/>
      <c r="E3" s="21"/>
    </row>
    <row r="4" customHeight="1" spans="1:5">
      <c r="A4" s="27"/>
      <c r="B4" s="28" t="s">
        <v>1679</v>
      </c>
      <c r="C4" s="21"/>
      <c r="D4" s="24"/>
      <c r="E4" s="21"/>
    </row>
    <row r="5" customHeight="1" spans="1:5">
      <c r="A5" s="29"/>
      <c r="B5" s="28" t="s">
        <v>1673</v>
      </c>
      <c r="C5" s="30" t="s">
        <v>2018</v>
      </c>
      <c r="D5" s="31" t="s">
        <v>2255</v>
      </c>
      <c r="E5" s="21"/>
    </row>
    <row r="6" customFormat="1" customHeight="1" spans="1:5">
      <c r="A6" s="32"/>
      <c r="B6" s="28" t="s">
        <v>1683</v>
      </c>
      <c r="C6" s="21"/>
      <c r="D6" s="24"/>
      <c r="E6" s="21"/>
    </row>
    <row r="7" customHeight="1" spans="1:5">
      <c r="A7" s="33"/>
      <c r="B7" s="28" t="s">
        <v>1691</v>
      </c>
      <c r="C7" s="21"/>
      <c r="D7" s="24"/>
      <c r="E7" s="21"/>
    </row>
    <row r="8" customHeight="1" spans="1:5">
      <c r="A8" s="34"/>
      <c r="B8" s="28" t="s">
        <v>1686</v>
      </c>
      <c r="C8" s="21"/>
      <c r="D8" s="24"/>
      <c r="E8" s="21"/>
    </row>
  </sheetData>
  <sheetProtection formatColumns="0" formatRows="0" insertRows="0" deleteColumns="0" deleteRows="0" sort="0" autoFilter="0"/>
  <mergeCells count="1">
    <mergeCell ref="C1:D1"/>
  </mergeCells>
  <pageMargins left="0.7" right="0.7" top="0.75" bottom="0.75" header="0.3" footer="0.3"/>
  <pageSetup paperSize="1" orientation="portrait"/>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I712"/>
  <sheetViews>
    <sheetView showGridLines="0" workbookViewId="0">
      <selection activeCell="A1" sqref="A1"/>
    </sheetView>
  </sheetViews>
  <sheetFormatPr defaultColWidth="9.14285714285714" defaultRowHeight="11.25" customHeight="1"/>
  <cols>
    <col min="3" max="3" width="20.7142857142857" customWidth="1"/>
    <col min="4" max="4" width="25.1428571428571" customWidth="1"/>
  </cols>
  <sheetData>
    <row r="1" customHeight="1" spans="1:9">
      <c r="A1" t="s">
        <v>2256</v>
      </c>
      <c r="B1" t="s">
        <v>2257</v>
      </c>
      <c r="C1" t="s">
        <v>2258</v>
      </c>
      <c r="D1" t="s">
        <v>2259</v>
      </c>
      <c r="E1" t="s">
        <v>2260</v>
      </c>
      <c r="F1" t="s">
        <v>2261</v>
      </c>
      <c r="G1" t="s">
        <v>2262</v>
      </c>
      <c r="H1" t="s">
        <v>2263</v>
      </c>
      <c r="I1" t="s">
        <v>2264</v>
      </c>
    </row>
    <row r="2" customHeight="1" spans="1:9">
      <c r="A2" t="s">
        <v>2265</v>
      </c>
      <c r="B2" t="s">
        <v>16</v>
      </c>
      <c r="C2" t="s">
        <v>2266</v>
      </c>
      <c r="D2" t="s">
        <v>2267</v>
      </c>
      <c r="E2" t="s">
        <v>2268</v>
      </c>
      <c r="F2" t="s">
        <v>2269</v>
      </c>
      <c r="G2" t="s">
        <v>28</v>
      </c>
      <c r="H2" t="s">
        <v>28</v>
      </c>
      <c r="I2" t="s">
        <v>817</v>
      </c>
    </row>
    <row r="3" customHeight="1" spans="1:9">
      <c r="A3" t="s">
        <v>2265</v>
      </c>
      <c r="B3" t="s">
        <v>16</v>
      </c>
      <c r="C3" t="s">
        <v>2270</v>
      </c>
      <c r="D3" t="s">
        <v>2271</v>
      </c>
      <c r="E3" t="s">
        <v>2272</v>
      </c>
      <c r="F3" t="s">
        <v>2273</v>
      </c>
      <c r="G3" t="s">
        <v>28</v>
      </c>
      <c r="H3" t="s">
        <v>28</v>
      </c>
      <c r="I3" t="s">
        <v>817</v>
      </c>
    </row>
    <row r="4" customHeight="1" spans="1:9">
      <c r="A4" t="s">
        <v>2265</v>
      </c>
      <c r="B4" t="s">
        <v>16</v>
      </c>
      <c r="C4" t="s">
        <v>2274</v>
      </c>
      <c r="D4" t="s">
        <v>2275</v>
      </c>
      <c r="E4" t="s">
        <v>2276</v>
      </c>
      <c r="F4" t="s">
        <v>2277</v>
      </c>
      <c r="G4" t="s">
        <v>28</v>
      </c>
      <c r="H4" t="s">
        <v>28</v>
      </c>
      <c r="I4" t="s">
        <v>817</v>
      </c>
    </row>
    <row r="5" customHeight="1" spans="1:9">
      <c r="A5" t="s">
        <v>2265</v>
      </c>
      <c r="B5" t="s">
        <v>16</v>
      </c>
      <c r="C5" t="s">
        <v>2278</v>
      </c>
      <c r="D5" t="s">
        <v>2279</v>
      </c>
      <c r="E5" t="s">
        <v>2280</v>
      </c>
      <c r="F5" t="s">
        <v>2273</v>
      </c>
      <c r="G5" t="s">
        <v>28</v>
      </c>
      <c r="H5" t="s">
        <v>28</v>
      </c>
      <c r="I5" t="s">
        <v>817</v>
      </c>
    </row>
    <row r="6" customHeight="1" spans="1:9">
      <c r="A6" t="s">
        <v>2265</v>
      </c>
      <c r="B6" t="s">
        <v>16</v>
      </c>
      <c r="C6" t="s">
        <v>2281</v>
      </c>
      <c r="D6" t="s">
        <v>2282</v>
      </c>
      <c r="E6" t="s">
        <v>2283</v>
      </c>
      <c r="F6" t="s">
        <v>2284</v>
      </c>
      <c r="G6" t="s">
        <v>28</v>
      </c>
      <c r="H6" t="s">
        <v>28</v>
      </c>
      <c r="I6" t="s">
        <v>817</v>
      </c>
    </row>
    <row r="7" customHeight="1" spans="1:9">
      <c r="A7" t="s">
        <v>2265</v>
      </c>
      <c r="B7" t="s">
        <v>16</v>
      </c>
      <c r="C7" t="s">
        <v>2285</v>
      </c>
      <c r="D7" t="s">
        <v>2286</v>
      </c>
      <c r="E7" t="s">
        <v>2287</v>
      </c>
      <c r="F7" t="s">
        <v>2288</v>
      </c>
      <c r="G7" t="s">
        <v>28</v>
      </c>
      <c r="H7" t="s">
        <v>28</v>
      </c>
      <c r="I7" t="s">
        <v>817</v>
      </c>
    </row>
    <row r="8" customHeight="1" spans="1:9">
      <c r="A8" t="s">
        <v>2265</v>
      </c>
      <c r="B8" t="s">
        <v>16</v>
      </c>
      <c r="C8" t="s">
        <v>2289</v>
      </c>
      <c r="D8" t="s">
        <v>2290</v>
      </c>
      <c r="E8" t="s">
        <v>2291</v>
      </c>
      <c r="F8" t="s">
        <v>2292</v>
      </c>
      <c r="G8" t="s">
        <v>2293</v>
      </c>
      <c r="H8" t="s">
        <v>28</v>
      </c>
      <c r="I8" t="s">
        <v>817</v>
      </c>
    </row>
    <row r="9" customHeight="1" spans="1:9">
      <c r="A9" t="s">
        <v>2265</v>
      </c>
      <c r="B9" t="s">
        <v>16</v>
      </c>
      <c r="C9" t="s">
        <v>2294</v>
      </c>
      <c r="D9" t="s">
        <v>2295</v>
      </c>
      <c r="E9" t="s">
        <v>2296</v>
      </c>
      <c r="F9" t="s">
        <v>2297</v>
      </c>
      <c r="G9" t="s">
        <v>28</v>
      </c>
      <c r="H9" t="s">
        <v>28</v>
      </c>
      <c r="I9" t="s">
        <v>817</v>
      </c>
    </row>
    <row r="10" customHeight="1" spans="1:9">
      <c r="A10" t="s">
        <v>2265</v>
      </c>
      <c r="B10" t="s">
        <v>16</v>
      </c>
      <c r="C10" t="s">
        <v>2298</v>
      </c>
      <c r="D10" t="s">
        <v>2299</v>
      </c>
      <c r="E10" t="s">
        <v>2300</v>
      </c>
      <c r="F10" t="s">
        <v>2301</v>
      </c>
      <c r="G10" t="s">
        <v>28</v>
      </c>
      <c r="H10" t="s">
        <v>28</v>
      </c>
      <c r="I10" t="s">
        <v>817</v>
      </c>
    </row>
    <row r="11" customHeight="1" spans="1:9">
      <c r="A11" t="s">
        <v>2265</v>
      </c>
      <c r="B11" t="s">
        <v>16</v>
      </c>
      <c r="C11" t="s">
        <v>2302</v>
      </c>
      <c r="D11" t="s">
        <v>2303</v>
      </c>
      <c r="E11" t="s">
        <v>2304</v>
      </c>
      <c r="F11" t="s">
        <v>2305</v>
      </c>
      <c r="G11" t="s">
        <v>28</v>
      </c>
      <c r="H11" t="s">
        <v>28</v>
      </c>
      <c r="I11" t="s">
        <v>817</v>
      </c>
    </row>
    <row r="12" customHeight="1" spans="1:9">
      <c r="A12" t="s">
        <v>2265</v>
      </c>
      <c r="B12" t="s">
        <v>16</v>
      </c>
      <c r="C12" t="s">
        <v>2306</v>
      </c>
      <c r="D12" t="s">
        <v>2307</v>
      </c>
      <c r="E12" t="s">
        <v>2308</v>
      </c>
      <c r="F12" t="s">
        <v>2309</v>
      </c>
      <c r="G12" t="s">
        <v>28</v>
      </c>
      <c r="H12" t="s">
        <v>28</v>
      </c>
      <c r="I12" t="s">
        <v>817</v>
      </c>
    </row>
    <row r="13" customHeight="1" spans="1:9">
      <c r="A13" t="s">
        <v>2265</v>
      </c>
      <c r="B13" t="s">
        <v>16</v>
      </c>
      <c r="C13" t="s">
        <v>2310</v>
      </c>
      <c r="D13" t="s">
        <v>2307</v>
      </c>
      <c r="E13" t="s">
        <v>2308</v>
      </c>
      <c r="F13" t="s">
        <v>2311</v>
      </c>
      <c r="G13" t="s">
        <v>2312</v>
      </c>
      <c r="H13" t="s">
        <v>28</v>
      </c>
      <c r="I13" t="s">
        <v>817</v>
      </c>
    </row>
    <row r="14" customHeight="1" spans="1:9">
      <c r="A14" t="s">
        <v>2265</v>
      </c>
      <c r="B14" t="s">
        <v>16</v>
      </c>
      <c r="C14" t="s">
        <v>2313</v>
      </c>
      <c r="D14" t="s">
        <v>2307</v>
      </c>
      <c r="E14" t="s">
        <v>2308</v>
      </c>
      <c r="F14" t="s">
        <v>2314</v>
      </c>
      <c r="G14" t="s">
        <v>28</v>
      </c>
      <c r="H14" t="s">
        <v>28</v>
      </c>
      <c r="I14" t="s">
        <v>817</v>
      </c>
    </row>
    <row r="15" customHeight="1" spans="1:9">
      <c r="A15" t="s">
        <v>2265</v>
      </c>
      <c r="B15" t="s">
        <v>16</v>
      </c>
      <c r="C15" t="s">
        <v>2315</v>
      </c>
      <c r="D15" t="s">
        <v>2316</v>
      </c>
      <c r="E15" t="s">
        <v>2317</v>
      </c>
      <c r="F15" t="s">
        <v>53</v>
      </c>
      <c r="G15" t="s">
        <v>28</v>
      </c>
      <c r="H15" t="s">
        <v>28</v>
      </c>
      <c r="I15" t="s">
        <v>817</v>
      </c>
    </row>
    <row r="16" customHeight="1" spans="1:9">
      <c r="A16" t="s">
        <v>2265</v>
      </c>
      <c r="B16" t="s">
        <v>16</v>
      </c>
      <c r="C16" t="s">
        <v>2318</v>
      </c>
      <c r="D16" t="s">
        <v>2319</v>
      </c>
      <c r="E16" t="s">
        <v>2320</v>
      </c>
      <c r="F16" t="s">
        <v>2321</v>
      </c>
      <c r="G16" t="s">
        <v>28</v>
      </c>
      <c r="H16" t="s">
        <v>28</v>
      </c>
      <c r="I16" t="s">
        <v>817</v>
      </c>
    </row>
    <row r="17" customHeight="1" spans="1:9">
      <c r="A17" t="s">
        <v>2265</v>
      </c>
      <c r="B17" t="s">
        <v>16</v>
      </c>
      <c r="C17" t="s">
        <v>2322</v>
      </c>
      <c r="D17" t="s">
        <v>2323</v>
      </c>
      <c r="E17" t="s">
        <v>2324</v>
      </c>
      <c r="F17" t="s">
        <v>2325</v>
      </c>
      <c r="G17" t="s">
        <v>28</v>
      </c>
      <c r="H17" t="s">
        <v>28</v>
      </c>
      <c r="I17" t="s">
        <v>817</v>
      </c>
    </row>
    <row r="18" customHeight="1" spans="1:9">
      <c r="A18" t="s">
        <v>2265</v>
      </c>
      <c r="B18" t="s">
        <v>16</v>
      </c>
      <c r="C18" t="s">
        <v>2326</v>
      </c>
      <c r="D18" t="s">
        <v>2327</v>
      </c>
      <c r="E18" t="s">
        <v>2328</v>
      </c>
      <c r="F18" t="s">
        <v>2325</v>
      </c>
      <c r="G18" t="s">
        <v>28</v>
      </c>
      <c r="H18" t="s">
        <v>28</v>
      </c>
      <c r="I18" t="s">
        <v>817</v>
      </c>
    </row>
    <row r="19" customHeight="1" spans="1:9">
      <c r="A19" t="s">
        <v>2265</v>
      </c>
      <c r="B19" t="s">
        <v>16</v>
      </c>
      <c r="C19" t="s">
        <v>2329</v>
      </c>
      <c r="D19" t="s">
        <v>2330</v>
      </c>
      <c r="E19" t="s">
        <v>2331</v>
      </c>
      <c r="F19" t="s">
        <v>2332</v>
      </c>
      <c r="G19" t="s">
        <v>28</v>
      </c>
      <c r="H19" t="s">
        <v>28</v>
      </c>
      <c r="I19" t="s">
        <v>817</v>
      </c>
    </row>
    <row r="20" customHeight="1" spans="1:9">
      <c r="A20" t="s">
        <v>2265</v>
      </c>
      <c r="B20" t="s">
        <v>16</v>
      </c>
      <c r="C20" t="s">
        <v>2333</v>
      </c>
      <c r="D20" t="s">
        <v>2334</v>
      </c>
      <c r="E20" t="s">
        <v>2335</v>
      </c>
      <c r="F20" t="s">
        <v>2336</v>
      </c>
      <c r="G20" t="s">
        <v>28</v>
      </c>
      <c r="H20" t="s">
        <v>28</v>
      </c>
      <c r="I20" t="s">
        <v>817</v>
      </c>
    </row>
    <row r="21" customHeight="1" spans="1:9">
      <c r="A21" t="s">
        <v>2265</v>
      </c>
      <c r="B21" t="s">
        <v>16</v>
      </c>
      <c r="C21" t="s">
        <v>2337</v>
      </c>
      <c r="D21" t="s">
        <v>2338</v>
      </c>
      <c r="E21" t="s">
        <v>2339</v>
      </c>
      <c r="F21" t="s">
        <v>2340</v>
      </c>
      <c r="G21" t="s">
        <v>28</v>
      </c>
      <c r="H21" t="s">
        <v>28</v>
      </c>
      <c r="I21" t="s">
        <v>817</v>
      </c>
    </row>
    <row r="22" customHeight="1" spans="1:9">
      <c r="A22" t="s">
        <v>2265</v>
      </c>
      <c r="B22" t="s">
        <v>16</v>
      </c>
      <c r="C22" t="s">
        <v>2341</v>
      </c>
      <c r="D22" t="s">
        <v>2342</v>
      </c>
      <c r="E22" t="s">
        <v>2343</v>
      </c>
      <c r="F22" t="s">
        <v>2344</v>
      </c>
      <c r="G22" t="s">
        <v>28</v>
      </c>
      <c r="H22" t="s">
        <v>28</v>
      </c>
      <c r="I22" t="s">
        <v>817</v>
      </c>
    </row>
    <row r="23" customHeight="1" spans="1:9">
      <c r="A23" t="s">
        <v>2265</v>
      </c>
      <c r="B23" t="s">
        <v>16</v>
      </c>
      <c r="C23" t="s">
        <v>2345</v>
      </c>
      <c r="D23" t="s">
        <v>2346</v>
      </c>
      <c r="E23" t="s">
        <v>2347</v>
      </c>
      <c r="F23" t="s">
        <v>2340</v>
      </c>
      <c r="G23" t="s">
        <v>28</v>
      </c>
      <c r="H23" t="s">
        <v>28</v>
      </c>
      <c r="I23" t="s">
        <v>817</v>
      </c>
    </row>
    <row r="24" customHeight="1" spans="1:9">
      <c r="A24" t="s">
        <v>2265</v>
      </c>
      <c r="B24" t="s">
        <v>16</v>
      </c>
      <c r="C24" t="s">
        <v>2348</v>
      </c>
      <c r="D24" t="s">
        <v>2349</v>
      </c>
      <c r="E24" t="s">
        <v>2350</v>
      </c>
      <c r="F24" t="s">
        <v>2351</v>
      </c>
      <c r="G24" t="s">
        <v>28</v>
      </c>
      <c r="H24" t="s">
        <v>28</v>
      </c>
      <c r="I24" t="s">
        <v>817</v>
      </c>
    </row>
    <row r="25" customHeight="1" spans="1:9">
      <c r="A25" t="s">
        <v>2265</v>
      </c>
      <c r="B25" t="s">
        <v>16</v>
      </c>
      <c r="C25" t="s">
        <v>2352</v>
      </c>
      <c r="D25" t="s">
        <v>2353</v>
      </c>
      <c r="E25" t="s">
        <v>2354</v>
      </c>
      <c r="F25" t="s">
        <v>2355</v>
      </c>
      <c r="G25" t="s">
        <v>28</v>
      </c>
      <c r="H25" t="s">
        <v>28</v>
      </c>
      <c r="I25" t="s">
        <v>817</v>
      </c>
    </row>
    <row r="26" customHeight="1" spans="1:9">
      <c r="A26" t="s">
        <v>2265</v>
      </c>
      <c r="B26" t="s">
        <v>16</v>
      </c>
      <c r="C26" t="s">
        <v>2356</v>
      </c>
      <c r="D26" t="s">
        <v>2357</v>
      </c>
      <c r="E26" t="s">
        <v>2358</v>
      </c>
      <c r="F26" t="s">
        <v>2340</v>
      </c>
      <c r="G26" t="s">
        <v>28</v>
      </c>
      <c r="H26" t="s">
        <v>28</v>
      </c>
      <c r="I26" t="s">
        <v>817</v>
      </c>
    </row>
    <row r="27" customHeight="1" spans="1:9">
      <c r="A27" t="s">
        <v>2265</v>
      </c>
      <c r="B27" t="s">
        <v>16</v>
      </c>
      <c r="C27" t="s">
        <v>2359</v>
      </c>
      <c r="D27" t="s">
        <v>2360</v>
      </c>
      <c r="E27" t="s">
        <v>2361</v>
      </c>
      <c r="F27" t="s">
        <v>2362</v>
      </c>
      <c r="G27" t="s">
        <v>28</v>
      </c>
      <c r="H27" t="s">
        <v>28</v>
      </c>
      <c r="I27" t="s">
        <v>817</v>
      </c>
    </row>
    <row r="28" customHeight="1" spans="1:9">
      <c r="A28" t="s">
        <v>2265</v>
      </c>
      <c r="B28" t="s">
        <v>16</v>
      </c>
      <c r="C28" t="s">
        <v>2363</v>
      </c>
      <c r="D28" t="s">
        <v>2364</v>
      </c>
      <c r="E28" t="s">
        <v>2365</v>
      </c>
      <c r="F28" t="s">
        <v>2344</v>
      </c>
      <c r="G28" t="s">
        <v>28</v>
      </c>
      <c r="H28" t="s">
        <v>28</v>
      </c>
      <c r="I28" t="s">
        <v>817</v>
      </c>
    </row>
    <row r="29" customHeight="1" spans="1:9">
      <c r="A29" t="s">
        <v>2265</v>
      </c>
      <c r="B29" t="s">
        <v>16</v>
      </c>
      <c r="C29" t="s">
        <v>2366</v>
      </c>
      <c r="D29" t="s">
        <v>2367</v>
      </c>
      <c r="E29" t="s">
        <v>2368</v>
      </c>
      <c r="F29" t="s">
        <v>2369</v>
      </c>
      <c r="G29" t="s">
        <v>28</v>
      </c>
      <c r="H29" t="s">
        <v>28</v>
      </c>
      <c r="I29" t="s">
        <v>817</v>
      </c>
    </row>
    <row r="30" customHeight="1" spans="1:9">
      <c r="A30" t="s">
        <v>2265</v>
      </c>
      <c r="B30" t="s">
        <v>16</v>
      </c>
      <c r="C30" t="s">
        <v>2370</v>
      </c>
      <c r="D30" t="s">
        <v>2371</v>
      </c>
      <c r="E30" t="s">
        <v>2372</v>
      </c>
      <c r="F30" t="s">
        <v>2340</v>
      </c>
      <c r="G30" t="s">
        <v>28</v>
      </c>
      <c r="H30" t="s">
        <v>28</v>
      </c>
      <c r="I30" t="s">
        <v>817</v>
      </c>
    </row>
    <row r="31" customHeight="1" spans="1:9">
      <c r="A31" t="s">
        <v>2265</v>
      </c>
      <c r="B31" t="s">
        <v>16</v>
      </c>
      <c r="C31" t="s">
        <v>2373</v>
      </c>
      <c r="D31" t="s">
        <v>2374</v>
      </c>
      <c r="E31" t="s">
        <v>2375</v>
      </c>
      <c r="F31" t="s">
        <v>2376</v>
      </c>
      <c r="G31" t="s">
        <v>28</v>
      </c>
      <c r="H31" t="s">
        <v>28</v>
      </c>
      <c r="I31" t="s">
        <v>817</v>
      </c>
    </row>
    <row r="32" customHeight="1" spans="1:9">
      <c r="A32" t="s">
        <v>2265</v>
      </c>
      <c r="B32" t="s">
        <v>16</v>
      </c>
      <c r="C32" t="s">
        <v>2377</v>
      </c>
      <c r="D32" t="s">
        <v>2378</v>
      </c>
      <c r="E32" t="s">
        <v>2379</v>
      </c>
      <c r="F32" t="s">
        <v>2380</v>
      </c>
      <c r="G32" t="s">
        <v>28</v>
      </c>
      <c r="H32" t="s">
        <v>28</v>
      </c>
      <c r="I32" t="s">
        <v>817</v>
      </c>
    </row>
    <row r="33" customHeight="1" spans="1:9">
      <c r="A33" t="s">
        <v>2265</v>
      </c>
      <c r="B33" t="s">
        <v>16</v>
      </c>
      <c r="C33" t="s">
        <v>2381</v>
      </c>
      <c r="D33" t="s">
        <v>2382</v>
      </c>
      <c r="E33" t="s">
        <v>2383</v>
      </c>
      <c r="F33" t="s">
        <v>2384</v>
      </c>
      <c r="G33" t="s">
        <v>28</v>
      </c>
      <c r="H33" t="s">
        <v>28</v>
      </c>
      <c r="I33" t="s">
        <v>817</v>
      </c>
    </row>
    <row r="34" customHeight="1" spans="1:9">
      <c r="A34" t="s">
        <v>2265</v>
      </c>
      <c r="B34" t="s">
        <v>16</v>
      </c>
      <c r="C34" t="s">
        <v>13</v>
      </c>
      <c r="D34" t="s">
        <v>48</v>
      </c>
      <c r="E34" t="s">
        <v>51</v>
      </c>
      <c r="F34" t="s">
        <v>53</v>
      </c>
      <c r="G34" t="s">
        <v>28</v>
      </c>
      <c r="H34" t="s">
        <v>28</v>
      </c>
      <c r="I34" t="s">
        <v>817</v>
      </c>
    </row>
    <row r="35" customHeight="1" spans="1:9">
      <c r="A35" t="s">
        <v>2265</v>
      </c>
      <c r="B35" t="s">
        <v>16</v>
      </c>
      <c r="C35" t="s">
        <v>2385</v>
      </c>
      <c r="D35" t="s">
        <v>2386</v>
      </c>
      <c r="E35" t="s">
        <v>2387</v>
      </c>
      <c r="F35" t="s">
        <v>2376</v>
      </c>
      <c r="G35" t="s">
        <v>2388</v>
      </c>
      <c r="H35" t="s">
        <v>28</v>
      </c>
      <c r="I35" t="s">
        <v>817</v>
      </c>
    </row>
    <row r="36" customHeight="1" spans="1:9">
      <c r="A36" t="s">
        <v>2265</v>
      </c>
      <c r="B36" t="s">
        <v>16</v>
      </c>
      <c r="C36" t="s">
        <v>2389</v>
      </c>
      <c r="D36" t="s">
        <v>2390</v>
      </c>
      <c r="E36" t="s">
        <v>2391</v>
      </c>
      <c r="F36" t="s">
        <v>2392</v>
      </c>
      <c r="G36" t="s">
        <v>28</v>
      </c>
      <c r="H36" t="s">
        <v>28</v>
      </c>
      <c r="I36" t="s">
        <v>817</v>
      </c>
    </row>
    <row r="37" customHeight="1" spans="1:9">
      <c r="A37" t="s">
        <v>2265</v>
      </c>
      <c r="B37" t="s">
        <v>16</v>
      </c>
      <c r="C37" t="s">
        <v>2393</v>
      </c>
      <c r="D37" t="s">
        <v>2394</v>
      </c>
      <c r="E37" t="s">
        <v>2395</v>
      </c>
      <c r="F37" t="s">
        <v>2340</v>
      </c>
      <c r="G37" t="s">
        <v>28</v>
      </c>
      <c r="H37" t="s">
        <v>28</v>
      </c>
      <c r="I37" t="s">
        <v>817</v>
      </c>
    </row>
    <row r="38" customHeight="1" spans="1:9">
      <c r="A38" t="s">
        <v>2265</v>
      </c>
      <c r="B38" t="s">
        <v>16</v>
      </c>
      <c r="C38" t="s">
        <v>2396</v>
      </c>
      <c r="D38" t="s">
        <v>2397</v>
      </c>
      <c r="E38" t="s">
        <v>2398</v>
      </c>
      <c r="F38" t="s">
        <v>2399</v>
      </c>
      <c r="G38" t="s">
        <v>28</v>
      </c>
      <c r="H38" t="s">
        <v>28</v>
      </c>
      <c r="I38" t="s">
        <v>817</v>
      </c>
    </row>
    <row r="39" customHeight="1" spans="1:9">
      <c r="A39" t="s">
        <v>2265</v>
      </c>
      <c r="B39" t="s">
        <v>16</v>
      </c>
      <c r="C39" t="s">
        <v>2400</v>
      </c>
      <c r="D39" t="s">
        <v>2401</v>
      </c>
      <c r="E39" t="s">
        <v>2402</v>
      </c>
      <c r="F39" t="s">
        <v>2384</v>
      </c>
      <c r="G39" t="s">
        <v>28</v>
      </c>
      <c r="H39" t="s">
        <v>28</v>
      </c>
      <c r="I39" t="s">
        <v>817</v>
      </c>
    </row>
    <row r="40" customHeight="1" spans="1:9">
      <c r="A40" t="s">
        <v>2265</v>
      </c>
      <c r="B40" t="s">
        <v>16</v>
      </c>
      <c r="C40" t="s">
        <v>2403</v>
      </c>
      <c r="D40" t="s">
        <v>2404</v>
      </c>
      <c r="E40" t="s">
        <v>2405</v>
      </c>
      <c r="F40" t="s">
        <v>2301</v>
      </c>
      <c r="G40" t="s">
        <v>2406</v>
      </c>
      <c r="H40" t="s">
        <v>28</v>
      </c>
      <c r="I40" t="s">
        <v>817</v>
      </c>
    </row>
    <row r="41" customHeight="1" spans="1:9">
      <c r="A41" t="s">
        <v>2265</v>
      </c>
      <c r="B41" t="s">
        <v>16</v>
      </c>
      <c r="C41" t="s">
        <v>2407</v>
      </c>
      <c r="D41" t="s">
        <v>2408</v>
      </c>
      <c r="E41" t="s">
        <v>2409</v>
      </c>
      <c r="F41" t="s">
        <v>2410</v>
      </c>
      <c r="G41" t="s">
        <v>28</v>
      </c>
      <c r="H41" t="s">
        <v>28</v>
      </c>
      <c r="I41" t="s">
        <v>817</v>
      </c>
    </row>
    <row r="42" customHeight="1" spans="1:9">
      <c r="A42" t="s">
        <v>2265</v>
      </c>
      <c r="B42" t="s">
        <v>16</v>
      </c>
      <c r="C42" t="s">
        <v>2411</v>
      </c>
      <c r="D42" t="s">
        <v>2412</v>
      </c>
      <c r="E42" t="s">
        <v>2413</v>
      </c>
      <c r="F42" t="s">
        <v>2269</v>
      </c>
      <c r="G42" t="s">
        <v>2414</v>
      </c>
      <c r="H42" t="s">
        <v>28</v>
      </c>
      <c r="I42" t="s">
        <v>817</v>
      </c>
    </row>
    <row r="43" customHeight="1" spans="1:9">
      <c r="A43" t="s">
        <v>2265</v>
      </c>
      <c r="B43" t="s">
        <v>16</v>
      </c>
      <c r="C43" t="s">
        <v>2415</v>
      </c>
      <c r="D43" t="s">
        <v>2416</v>
      </c>
      <c r="E43" t="s">
        <v>2417</v>
      </c>
      <c r="F43" t="s">
        <v>2351</v>
      </c>
      <c r="G43" t="s">
        <v>28</v>
      </c>
      <c r="H43" t="s">
        <v>28</v>
      </c>
      <c r="I43" t="s">
        <v>817</v>
      </c>
    </row>
    <row r="44" customHeight="1" spans="1:9">
      <c r="A44" t="s">
        <v>2265</v>
      </c>
      <c r="B44" t="s">
        <v>16</v>
      </c>
      <c r="C44" t="s">
        <v>2418</v>
      </c>
      <c r="D44" t="s">
        <v>2419</v>
      </c>
      <c r="E44" t="s">
        <v>2420</v>
      </c>
      <c r="F44" t="s">
        <v>2421</v>
      </c>
      <c r="G44" t="s">
        <v>28</v>
      </c>
      <c r="H44" t="s">
        <v>28</v>
      </c>
      <c r="I44" t="s">
        <v>817</v>
      </c>
    </row>
    <row r="45" customHeight="1" spans="1:9">
      <c r="A45" t="s">
        <v>2265</v>
      </c>
      <c r="B45" t="s">
        <v>16</v>
      </c>
      <c r="C45" t="s">
        <v>2422</v>
      </c>
      <c r="D45" t="s">
        <v>2423</v>
      </c>
      <c r="E45" t="s">
        <v>2424</v>
      </c>
      <c r="F45" t="s">
        <v>2269</v>
      </c>
      <c r="G45" t="s">
        <v>28</v>
      </c>
      <c r="H45" t="s">
        <v>28</v>
      </c>
      <c r="I45" t="s">
        <v>817</v>
      </c>
    </row>
    <row r="46" customHeight="1" spans="1:9">
      <c r="A46" t="s">
        <v>2265</v>
      </c>
      <c r="B46" t="s">
        <v>16</v>
      </c>
      <c r="C46" t="s">
        <v>2425</v>
      </c>
      <c r="D46" t="s">
        <v>2426</v>
      </c>
      <c r="E46" t="s">
        <v>2427</v>
      </c>
      <c r="F46" t="s">
        <v>2428</v>
      </c>
      <c r="G46" t="s">
        <v>28</v>
      </c>
      <c r="H46" t="s">
        <v>28</v>
      </c>
      <c r="I46" t="s">
        <v>817</v>
      </c>
    </row>
    <row r="47" customHeight="1" spans="1:9">
      <c r="A47" t="s">
        <v>2265</v>
      </c>
      <c r="B47" t="s">
        <v>16</v>
      </c>
      <c r="C47" t="s">
        <v>2429</v>
      </c>
      <c r="D47" t="s">
        <v>2430</v>
      </c>
      <c r="E47" t="s">
        <v>2431</v>
      </c>
      <c r="F47" t="s">
        <v>2399</v>
      </c>
      <c r="G47" t="s">
        <v>28</v>
      </c>
      <c r="H47" t="s">
        <v>28</v>
      </c>
      <c r="I47" t="s">
        <v>817</v>
      </c>
    </row>
    <row r="48" customHeight="1" spans="1:9">
      <c r="A48" t="s">
        <v>2265</v>
      </c>
      <c r="B48" t="s">
        <v>16</v>
      </c>
      <c r="C48" t="s">
        <v>2432</v>
      </c>
      <c r="D48" t="s">
        <v>2433</v>
      </c>
      <c r="E48" t="s">
        <v>2434</v>
      </c>
      <c r="F48" t="s">
        <v>2325</v>
      </c>
      <c r="G48" t="s">
        <v>28</v>
      </c>
      <c r="H48" t="s">
        <v>28</v>
      </c>
      <c r="I48" t="s">
        <v>817</v>
      </c>
    </row>
    <row r="49" customHeight="1" spans="1:9">
      <c r="A49" t="s">
        <v>2265</v>
      </c>
      <c r="B49" t="s">
        <v>16</v>
      </c>
      <c r="C49" t="s">
        <v>2435</v>
      </c>
      <c r="D49" t="s">
        <v>2436</v>
      </c>
      <c r="E49" t="s">
        <v>2437</v>
      </c>
      <c r="F49" t="s">
        <v>2438</v>
      </c>
      <c r="G49" t="s">
        <v>28</v>
      </c>
      <c r="H49" t="s">
        <v>28</v>
      </c>
      <c r="I49" t="s">
        <v>817</v>
      </c>
    </row>
    <row r="50" customHeight="1" spans="1:9">
      <c r="A50" t="s">
        <v>2265</v>
      </c>
      <c r="B50" t="s">
        <v>16</v>
      </c>
      <c r="C50" t="s">
        <v>2439</v>
      </c>
      <c r="D50" t="s">
        <v>2440</v>
      </c>
      <c r="E50" t="s">
        <v>2424</v>
      </c>
      <c r="F50" t="s">
        <v>2441</v>
      </c>
      <c r="G50" t="s">
        <v>28</v>
      </c>
      <c r="H50" t="s">
        <v>28</v>
      </c>
      <c r="I50" t="s">
        <v>817</v>
      </c>
    </row>
    <row r="51" customHeight="1" spans="1:9">
      <c r="A51" t="s">
        <v>2265</v>
      </c>
      <c r="B51" t="s">
        <v>16</v>
      </c>
      <c r="C51" t="s">
        <v>2442</v>
      </c>
      <c r="D51" t="s">
        <v>2443</v>
      </c>
      <c r="E51" t="s">
        <v>2444</v>
      </c>
      <c r="F51" t="s">
        <v>2445</v>
      </c>
      <c r="G51" t="s">
        <v>28</v>
      </c>
      <c r="H51" t="s">
        <v>28</v>
      </c>
      <c r="I51" t="s">
        <v>817</v>
      </c>
    </row>
    <row r="52" customHeight="1" spans="1:9">
      <c r="A52" t="s">
        <v>2265</v>
      </c>
      <c r="B52" t="s">
        <v>16</v>
      </c>
      <c r="C52" t="s">
        <v>2446</v>
      </c>
      <c r="D52" t="s">
        <v>2447</v>
      </c>
      <c r="E52" t="s">
        <v>2448</v>
      </c>
      <c r="F52" t="s">
        <v>2344</v>
      </c>
      <c r="G52" t="s">
        <v>28</v>
      </c>
      <c r="H52" t="s">
        <v>28</v>
      </c>
      <c r="I52" t="s">
        <v>817</v>
      </c>
    </row>
    <row r="53" customHeight="1" spans="1:9">
      <c r="A53" t="s">
        <v>2265</v>
      </c>
      <c r="B53" t="s">
        <v>16</v>
      </c>
      <c r="C53" t="s">
        <v>2449</v>
      </c>
      <c r="D53" t="s">
        <v>2450</v>
      </c>
      <c r="E53" t="s">
        <v>2451</v>
      </c>
      <c r="F53" t="s">
        <v>2340</v>
      </c>
      <c r="G53" t="s">
        <v>28</v>
      </c>
      <c r="H53" t="s">
        <v>28</v>
      </c>
      <c r="I53" t="s">
        <v>817</v>
      </c>
    </row>
    <row r="54" customHeight="1" spans="1:9">
      <c r="A54" t="s">
        <v>2265</v>
      </c>
      <c r="B54" t="s">
        <v>16</v>
      </c>
      <c r="C54" t="s">
        <v>28</v>
      </c>
      <c r="D54" t="s">
        <v>2452</v>
      </c>
      <c r="E54" t="s">
        <v>2453</v>
      </c>
      <c r="F54" t="s">
        <v>2269</v>
      </c>
      <c r="G54" t="s">
        <v>28</v>
      </c>
      <c r="H54" t="s">
        <v>28</v>
      </c>
      <c r="I54" t="s">
        <v>817</v>
      </c>
    </row>
    <row r="55" customHeight="1" spans="1:9">
      <c r="A55" t="s">
        <v>2265</v>
      </c>
      <c r="B55" t="s">
        <v>16</v>
      </c>
      <c r="C55" t="s">
        <v>2454</v>
      </c>
      <c r="D55" t="s">
        <v>2455</v>
      </c>
      <c r="E55" t="s">
        <v>2456</v>
      </c>
      <c r="F55" t="s">
        <v>2269</v>
      </c>
      <c r="G55" t="s">
        <v>28</v>
      </c>
      <c r="H55" t="s">
        <v>28</v>
      </c>
      <c r="I55" t="s">
        <v>817</v>
      </c>
    </row>
    <row r="56" customHeight="1" spans="1:9">
      <c r="A56" t="s">
        <v>2265</v>
      </c>
      <c r="B56" t="s">
        <v>16</v>
      </c>
      <c r="C56" t="s">
        <v>2457</v>
      </c>
      <c r="D56" t="s">
        <v>2458</v>
      </c>
      <c r="E56" t="s">
        <v>2459</v>
      </c>
      <c r="F56" t="s">
        <v>2460</v>
      </c>
      <c r="G56" t="s">
        <v>28</v>
      </c>
      <c r="H56" t="s">
        <v>28</v>
      </c>
      <c r="I56" t="s">
        <v>817</v>
      </c>
    </row>
    <row r="57" customHeight="1" spans="1:9">
      <c r="A57" t="s">
        <v>2265</v>
      </c>
      <c r="B57" t="s">
        <v>16</v>
      </c>
      <c r="C57" t="s">
        <v>2461</v>
      </c>
      <c r="D57" t="s">
        <v>2462</v>
      </c>
      <c r="E57" t="s">
        <v>2413</v>
      </c>
      <c r="F57" t="s">
        <v>2463</v>
      </c>
      <c r="G57" t="s">
        <v>28</v>
      </c>
      <c r="H57" t="s">
        <v>28</v>
      </c>
      <c r="I57" t="s">
        <v>817</v>
      </c>
    </row>
    <row r="58" customHeight="1" spans="1:9">
      <c r="A58" t="s">
        <v>2265</v>
      </c>
      <c r="B58" t="s">
        <v>16</v>
      </c>
      <c r="C58" t="s">
        <v>2464</v>
      </c>
      <c r="D58" t="s">
        <v>2465</v>
      </c>
      <c r="E58" t="s">
        <v>2466</v>
      </c>
      <c r="F58" t="s">
        <v>2292</v>
      </c>
      <c r="G58" t="s">
        <v>28</v>
      </c>
      <c r="H58" t="s">
        <v>28</v>
      </c>
      <c r="I58" t="s">
        <v>817</v>
      </c>
    </row>
    <row r="59" customHeight="1" spans="1:9">
      <c r="A59" t="s">
        <v>2265</v>
      </c>
      <c r="B59" t="s">
        <v>16</v>
      </c>
      <c r="C59" t="s">
        <v>2467</v>
      </c>
      <c r="D59" t="s">
        <v>2468</v>
      </c>
      <c r="E59" t="s">
        <v>2469</v>
      </c>
      <c r="F59" t="s">
        <v>2470</v>
      </c>
      <c r="G59" t="s">
        <v>28</v>
      </c>
      <c r="H59" t="s">
        <v>28</v>
      </c>
      <c r="I59" t="s">
        <v>817</v>
      </c>
    </row>
    <row r="60" customHeight="1" spans="1:9">
      <c r="A60" t="s">
        <v>2265</v>
      </c>
      <c r="B60" t="s">
        <v>16</v>
      </c>
      <c r="C60" t="s">
        <v>2471</v>
      </c>
      <c r="D60" t="s">
        <v>2472</v>
      </c>
      <c r="E60" t="s">
        <v>2473</v>
      </c>
      <c r="F60" t="s">
        <v>585</v>
      </c>
      <c r="G60" t="s">
        <v>28</v>
      </c>
      <c r="H60" t="s">
        <v>28</v>
      </c>
      <c r="I60" t="s">
        <v>817</v>
      </c>
    </row>
    <row r="61" customHeight="1" spans="1:9">
      <c r="A61" t="s">
        <v>2265</v>
      </c>
      <c r="B61" t="s">
        <v>16</v>
      </c>
      <c r="C61" t="s">
        <v>2474</v>
      </c>
      <c r="D61" t="s">
        <v>2475</v>
      </c>
      <c r="E61" t="s">
        <v>2476</v>
      </c>
      <c r="F61" t="s">
        <v>2269</v>
      </c>
      <c r="G61" t="s">
        <v>28</v>
      </c>
      <c r="H61" t="s">
        <v>28</v>
      </c>
      <c r="I61" t="s">
        <v>817</v>
      </c>
    </row>
    <row r="62" customHeight="1" spans="1:9">
      <c r="A62" t="s">
        <v>2265</v>
      </c>
      <c r="B62" t="s">
        <v>16</v>
      </c>
      <c r="C62" t="s">
        <v>2477</v>
      </c>
      <c r="D62" t="s">
        <v>2478</v>
      </c>
      <c r="E62" t="s">
        <v>2413</v>
      </c>
      <c r="F62" t="s">
        <v>2479</v>
      </c>
      <c r="G62" t="s">
        <v>28</v>
      </c>
      <c r="H62" t="s">
        <v>28</v>
      </c>
      <c r="I62" t="s">
        <v>817</v>
      </c>
    </row>
    <row r="63" customHeight="1" spans="1:9">
      <c r="A63" t="s">
        <v>2265</v>
      </c>
      <c r="B63" t="s">
        <v>16</v>
      </c>
      <c r="C63" t="s">
        <v>2480</v>
      </c>
      <c r="D63" t="s">
        <v>2481</v>
      </c>
      <c r="E63" t="s">
        <v>2413</v>
      </c>
      <c r="F63" t="s">
        <v>2482</v>
      </c>
      <c r="G63" t="s">
        <v>28</v>
      </c>
      <c r="H63" t="s">
        <v>28</v>
      </c>
      <c r="I63" t="s">
        <v>817</v>
      </c>
    </row>
    <row r="64" customHeight="1" spans="1:9">
      <c r="A64" t="s">
        <v>2265</v>
      </c>
      <c r="B64" t="s">
        <v>16</v>
      </c>
      <c r="C64" t="s">
        <v>2483</v>
      </c>
      <c r="D64" t="s">
        <v>2484</v>
      </c>
      <c r="E64" t="s">
        <v>2409</v>
      </c>
      <c r="F64" t="s">
        <v>2485</v>
      </c>
      <c r="G64" t="s">
        <v>28</v>
      </c>
      <c r="H64" t="s">
        <v>28</v>
      </c>
      <c r="I64" t="s">
        <v>817</v>
      </c>
    </row>
    <row r="65" customHeight="1" spans="1:9">
      <c r="A65" t="s">
        <v>2265</v>
      </c>
      <c r="B65" t="s">
        <v>16</v>
      </c>
      <c r="C65" t="s">
        <v>2486</v>
      </c>
      <c r="D65" t="s">
        <v>2487</v>
      </c>
      <c r="E65" t="s">
        <v>2424</v>
      </c>
      <c r="F65" t="s">
        <v>2488</v>
      </c>
      <c r="G65" t="s">
        <v>28</v>
      </c>
      <c r="H65" t="s">
        <v>28</v>
      </c>
      <c r="I65" t="s">
        <v>817</v>
      </c>
    </row>
    <row r="66" customHeight="1" spans="1:9">
      <c r="A66" t="s">
        <v>2265</v>
      </c>
      <c r="B66" t="s">
        <v>16</v>
      </c>
      <c r="C66" t="s">
        <v>2489</v>
      </c>
      <c r="D66" t="s">
        <v>2490</v>
      </c>
      <c r="E66" t="s">
        <v>2459</v>
      </c>
      <c r="F66" t="s">
        <v>2491</v>
      </c>
      <c r="G66" t="s">
        <v>28</v>
      </c>
      <c r="H66" t="s">
        <v>28</v>
      </c>
      <c r="I66" t="s">
        <v>817</v>
      </c>
    </row>
    <row r="67" customHeight="1" spans="1:9">
      <c r="A67" t="s">
        <v>2265</v>
      </c>
      <c r="B67" t="s">
        <v>16</v>
      </c>
      <c r="C67" t="s">
        <v>2492</v>
      </c>
      <c r="D67" t="s">
        <v>2493</v>
      </c>
      <c r="E67" t="s">
        <v>2494</v>
      </c>
      <c r="F67" t="s">
        <v>2495</v>
      </c>
      <c r="G67" t="s">
        <v>28</v>
      </c>
      <c r="H67" t="s">
        <v>28</v>
      </c>
      <c r="I67" t="s">
        <v>817</v>
      </c>
    </row>
    <row r="68" customHeight="1" spans="1:9">
      <c r="A68" t="s">
        <v>2265</v>
      </c>
      <c r="B68" t="s">
        <v>16</v>
      </c>
      <c r="C68" t="s">
        <v>2496</v>
      </c>
      <c r="D68" t="s">
        <v>2497</v>
      </c>
      <c r="E68" t="s">
        <v>2498</v>
      </c>
      <c r="F68" t="s">
        <v>2499</v>
      </c>
      <c r="G68" t="s">
        <v>28</v>
      </c>
      <c r="H68" t="s">
        <v>28</v>
      </c>
      <c r="I68" t="s">
        <v>817</v>
      </c>
    </row>
    <row r="69" customHeight="1" spans="1:9">
      <c r="A69" t="s">
        <v>2265</v>
      </c>
      <c r="B69" t="s">
        <v>16</v>
      </c>
      <c r="C69" t="s">
        <v>2500</v>
      </c>
      <c r="D69" t="s">
        <v>2501</v>
      </c>
      <c r="E69" t="s">
        <v>2502</v>
      </c>
      <c r="F69" t="s">
        <v>2503</v>
      </c>
      <c r="G69" t="s">
        <v>28</v>
      </c>
      <c r="H69" t="s">
        <v>28</v>
      </c>
      <c r="I69" t="s">
        <v>817</v>
      </c>
    </row>
    <row r="70" customHeight="1" spans="1:9">
      <c r="A70" t="s">
        <v>2265</v>
      </c>
      <c r="B70" t="s">
        <v>16</v>
      </c>
      <c r="C70" t="s">
        <v>2504</v>
      </c>
      <c r="D70" t="s">
        <v>2505</v>
      </c>
      <c r="E70" t="s">
        <v>2506</v>
      </c>
      <c r="F70" t="s">
        <v>2288</v>
      </c>
      <c r="G70" t="s">
        <v>2507</v>
      </c>
      <c r="H70" t="s">
        <v>28</v>
      </c>
      <c r="I70" t="s">
        <v>817</v>
      </c>
    </row>
    <row r="71" customHeight="1" spans="1:9">
      <c r="A71" t="s">
        <v>2265</v>
      </c>
      <c r="B71" t="s">
        <v>16</v>
      </c>
      <c r="C71" t="s">
        <v>2508</v>
      </c>
      <c r="D71" t="s">
        <v>2509</v>
      </c>
      <c r="E71" t="s">
        <v>2510</v>
      </c>
      <c r="F71" t="s">
        <v>2301</v>
      </c>
      <c r="G71" t="s">
        <v>28</v>
      </c>
      <c r="H71" t="s">
        <v>28</v>
      </c>
      <c r="I71" t="s">
        <v>817</v>
      </c>
    </row>
    <row r="72" customHeight="1" spans="1:9">
      <c r="A72" t="s">
        <v>2265</v>
      </c>
      <c r="B72" t="s">
        <v>16</v>
      </c>
      <c r="C72" t="s">
        <v>2511</v>
      </c>
      <c r="D72" t="s">
        <v>2512</v>
      </c>
      <c r="E72" t="s">
        <v>2513</v>
      </c>
      <c r="F72" t="s">
        <v>2514</v>
      </c>
      <c r="G72" t="s">
        <v>28</v>
      </c>
      <c r="H72" t="s">
        <v>28</v>
      </c>
      <c r="I72" t="s">
        <v>817</v>
      </c>
    </row>
    <row r="73" customHeight="1" spans="1:9">
      <c r="A73" t="s">
        <v>2265</v>
      </c>
      <c r="B73" t="s">
        <v>16</v>
      </c>
      <c r="C73" t="s">
        <v>2515</v>
      </c>
      <c r="D73" t="s">
        <v>2516</v>
      </c>
      <c r="E73" t="s">
        <v>2517</v>
      </c>
      <c r="F73" t="s">
        <v>2340</v>
      </c>
      <c r="G73" t="s">
        <v>28</v>
      </c>
      <c r="H73" t="s">
        <v>28</v>
      </c>
      <c r="I73" t="s">
        <v>817</v>
      </c>
    </row>
    <row r="74" customHeight="1" spans="1:9">
      <c r="A74" t="s">
        <v>2265</v>
      </c>
      <c r="B74" t="s">
        <v>16</v>
      </c>
      <c r="C74" t="s">
        <v>2518</v>
      </c>
      <c r="D74" t="s">
        <v>2519</v>
      </c>
      <c r="E74" t="s">
        <v>2520</v>
      </c>
      <c r="F74" t="s">
        <v>2521</v>
      </c>
      <c r="G74" t="s">
        <v>28</v>
      </c>
      <c r="H74" t="s">
        <v>28</v>
      </c>
      <c r="I74" t="s">
        <v>817</v>
      </c>
    </row>
    <row r="75" customHeight="1" spans="1:9">
      <c r="A75" t="s">
        <v>2265</v>
      </c>
      <c r="B75" t="s">
        <v>16</v>
      </c>
      <c r="C75" t="s">
        <v>2522</v>
      </c>
      <c r="D75" t="s">
        <v>2523</v>
      </c>
      <c r="E75" t="s">
        <v>2524</v>
      </c>
      <c r="F75" t="s">
        <v>2525</v>
      </c>
      <c r="G75" t="s">
        <v>28</v>
      </c>
      <c r="H75" t="s">
        <v>28</v>
      </c>
      <c r="I75" t="s">
        <v>817</v>
      </c>
    </row>
    <row r="76" customHeight="1" spans="1:9">
      <c r="A76" t="s">
        <v>2265</v>
      </c>
      <c r="B76" t="s">
        <v>16</v>
      </c>
      <c r="C76" t="s">
        <v>2526</v>
      </c>
      <c r="D76" t="s">
        <v>2527</v>
      </c>
      <c r="E76" t="s">
        <v>2528</v>
      </c>
      <c r="F76" t="s">
        <v>2495</v>
      </c>
      <c r="G76" t="s">
        <v>28</v>
      </c>
      <c r="H76" t="s">
        <v>28</v>
      </c>
      <c r="I76" t="s">
        <v>817</v>
      </c>
    </row>
    <row r="77" customHeight="1" spans="1:9">
      <c r="A77" t="s">
        <v>2265</v>
      </c>
      <c r="B77" t="s">
        <v>16</v>
      </c>
      <c r="C77" t="s">
        <v>2529</v>
      </c>
      <c r="D77" t="s">
        <v>2530</v>
      </c>
      <c r="E77" t="s">
        <v>2531</v>
      </c>
      <c r="F77" t="s">
        <v>2532</v>
      </c>
      <c r="G77" t="s">
        <v>28</v>
      </c>
      <c r="H77" t="s">
        <v>28</v>
      </c>
      <c r="I77" t="s">
        <v>817</v>
      </c>
    </row>
    <row r="78" customHeight="1" spans="1:9">
      <c r="A78" t="s">
        <v>2265</v>
      </c>
      <c r="B78" t="s">
        <v>16</v>
      </c>
      <c r="C78" t="s">
        <v>2533</v>
      </c>
      <c r="D78" t="s">
        <v>2534</v>
      </c>
      <c r="E78" t="s">
        <v>2535</v>
      </c>
      <c r="F78" t="s">
        <v>2536</v>
      </c>
      <c r="G78" t="s">
        <v>28</v>
      </c>
      <c r="H78" t="s">
        <v>28</v>
      </c>
      <c r="I78" t="s">
        <v>817</v>
      </c>
    </row>
    <row r="79" customHeight="1" spans="1:9">
      <c r="A79" t="s">
        <v>2265</v>
      </c>
      <c r="B79" t="s">
        <v>16</v>
      </c>
      <c r="C79" t="s">
        <v>2537</v>
      </c>
      <c r="D79" t="s">
        <v>2538</v>
      </c>
      <c r="E79" t="s">
        <v>2539</v>
      </c>
      <c r="F79" t="s">
        <v>2273</v>
      </c>
      <c r="G79" t="s">
        <v>28</v>
      </c>
      <c r="H79" t="s">
        <v>28</v>
      </c>
      <c r="I79" t="s">
        <v>817</v>
      </c>
    </row>
    <row r="80" customHeight="1" spans="1:9">
      <c r="A80" t="s">
        <v>2265</v>
      </c>
      <c r="B80" t="s">
        <v>16</v>
      </c>
      <c r="C80" t="s">
        <v>2540</v>
      </c>
      <c r="D80" t="s">
        <v>2541</v>
      </c>
      <c r="E80" t="s">
        <v>2542</v>
      </c>
      <c r="F80" t="s">
        <v>2277</v>
      </c>
      <c r="G80" t="s">
        <v>28</v>
      </c>
      <c r="H80" t="s">
        <v>28</v>
      </c>
      <c r="I80" t="s">
        <v>817</v>
      </c>
    </row>
    <row r="81" customHeight="1" spans="1:9">
      <c r="A81" t="s">
        <v>2265</v>
      </c>
      <c r="B81" t="s">
        <v>16</v>
      </c>
      <c r="C81" t="s">
        <v>2543</v>
      </c>
      <c r="D81" t="s">
        <v>2544</v>
      </c>
      <c r="E81" t="s">
        <v>2545</v>
      </c>
      <c r="F81" t="s">
        <v>2546</v>
      </c>
      <c r="G81" t="s">
        <v>28</v>
      </c>
      <c r="H81" t="s">
        <v>28</v>
      </c>
      <c r="I81" t="s">
        <v>817</v>
      </c>
    </row>
    <row r="82" customHeight="1" spans="1:9">
      <c r="A82" t="s">
        <v>2265</v>
      </c>
      <c r="B82" t="s">
        <v>16</v>
      </c>
      <c r="C82" t="s">
        <v>2547</v>
      </c>
      <c r="D82" t="s">
        <v>2548</v>
      </c>
      <c r="E82" t="s">
        <v>2549</v>
      </c>
      <c r="F82" t="s">
        <v>2550</v>
      </c>
      <c r="G82" t="s">
        <v>28</v>
      </c>
      <c r="H82" t="s">
        <v>28</v>
      </c>
      <c r="I82" t="s">
        <v>817</v>
      </c>
    </row>
    <row r="83" customHeight="1" spans="1:9">
      <c r="A83" t="s">
        <v>2265</v>
      </c>
      <c r="B83" t="s">
        <v>16</v>
      </c>
      <c r="C83" t="s">
        <v>2551</v>
      </c>
      <c r="D83" t="s">
        <v>2552</v>
      </c>
      <c r="E83" t="s">
        <v>2553</v>
      </c>
      <c r="F83" t="s">
        <v>2554</v>
      </c>
      <c r="G83" t="s">
        <v>2555</v>
      </c>
      <c r="H83" t="s">
        <v>28</v>
      </c>
      <c r="I83" t="s">
        <v>817</v>
      </c>
    </row>
    <row r="84" customHeight="1" spans="1:9">
      <c r="A84" t="s">
        <v>2265</v>
      </c>
      <c r="B84" t="s">
        <v>16</v>
      </c>
      <c r="C84" t="s">
        <v>2556</v>
      </c>
      <c r="D84" t="s">
        <v>2557</v>
      </c>
      <c r="E84" t="s">
        <v>2558</v>
      </c>
      <c r="F84" t="s">
        <v>2470</v>
      </c>
      <c r="G84" t="s">
        <v>2559</v>
      </c>
      <c r="H84" t="s">
        <v>28</v>
      </c>
      <c r="I84" t="s">
        <v>817</v>
      </c>
    </row>
    <row r="85" customHeight="1" spans="1:9">
      <c r="A85" t="s">
        <v>2265</v>
      </c>
      <c r="B85" t="s">
        <v>16</v>
      </c>
      <c r="C85" t="s">
        <v>2560</v>
      </c>
      <c r="D85" t="s">
        <v>2561</v>
      </c>
      <c r="E85" t="s">
        <v>2413</v>
      </c>
      <c r="F85" t="s">
        <v>2562</v>
      </c>
      <c r="G85" t="s">
        <v>28</v>
      </c>
      <c r="H85" t="s">
        <v>28</v>
      </c>
      <c r="I85" t="s">
        <v>817</v>
      </c>
    </row>
    <row r="86" customHeight="1" spans="1:9">
      <c r="A86" t="s">
        <v>2265</v>
      </c>
      <c r="B86" t="s">
        <v>16</v>
      </c>
      <c r="C86" t="s">
        <v>2563</v>
      </c>
      <c r="D86" t="s">
        <v>2564</v>
      </c>
      <c r="E86" t="s">
        <v>2409</v>
      </c>
      <c r="F86" t="s">
        <v>2565</v>
      </c>
      <c r="G86" t="s">
        <v>28</v>
      </c>
      <c r="H86" t="s">
        <v>28</v>
      </c>
      <c r="I86" t="s">
        <v>817</v>
      </c>
    </row>
    <row r="87" customHeight="1" spans="1:9">
      <c r="A87" t="s">
        <v>2265</v>
      </c>
      <c r="B87" t="s">
        <v>16</v>
      </c>
      <c r="C87" t="s">
        <v>2566</v>
      </c>
      <c r="D87" t="s">
        <v>2567</v>
      </c>
      <c r="E87" t="s">
        <v>2568</v>
      </c>
      <c r="F87" t="s">
        <v>53</v>
      </c>
      <c r="G87" t="s">
        <v>28</v>
      </c>
      <c r="H87" t="s">
        <v>28</v>
      </c>
      <c r="I87" t="s">
        <v>817</v>
      </c>
    </row>
    <row r="88" customHeight="1" spans="1:9">
      <c r="A88" t="s">
        <v>2265</v>
      </c>
      <c r="B88" t="s">
        <v>16</v>
      </c>
      <c r="C88" t="s">
        <v>2569</v>
      </c>
      <c r="D88" t="s">
        <v>2570</v>
      </c>
      <c r="E88" t="s">
        <v>2571</v>
      </c>
      <c r="F88" t="s">
        <v>2376</v>
      </c>
      <c r="G88" t="s">
        <v>28</v>
      </c>
      <c r="H88" t="s">
        <v>28</v>
      </c>
      <c r="I88" t="s">
        <v>817</v>
      </c>
    </row>
    <row r="89" customHeight="1" spans="1:9">
      <c r="A89" t="s">
        <v>2265</v>
      </c>
      <c r="B89" t="s">
        <v>16</v>
      </c>
      <c r="C89" t="s">
        <v>2572</v>
      </c>
      <c r="D89" t="s">
        <v>2573</v>
      </c>
      <c r="E89" t="s">
        <v>2574</v>
      </c>
      <c r="F89" t="s">
        <v>2340</v>
      </c>
      <c r="G89" t="s">
        <v>28</v>
      </c>
      <c r="H89" t="s">
        <v>28</v>
      </c>
      <c r="I89" t="s">
        <v>817</v>
      </c>
    </row>
    <row r="90" customHeight="1" spans="1:9">
      <c r="A90" t="s">
        <v>2265</v>
      </c>
      <c r="B90" t="s">
        <v>16</v>
      </c>
      <c r="C90" t="s">
        <v>2575</v>
      </c>
      <c r="D90" t="s">
        <v>2576</v>
      </c>
      <c r="E90" t="s">
        <v>2347</v>
      </c>
      <c r="F90" t="s">
        <v>2376</v>
      </c>
      <c r="G90" t="s">
        <v>28</v>
      </c>
      <c r="H90" t="s">
        <v>28</v>
      </c>
      <c r="I90" t="s">
        <v>817</v>
      </c>
    </row>
    <row r="91" customHeight="1" spans="1:9">
      <c r="A91" t="s">
        <v>2265</v>
      </c>
      <c r="B91" t="s">
        <v>16</v>
      </c>
      <c r="C91" t="s">
        <v>2577</v>
      </c>
      <c r="D91" t="s">
        <v>2578</v>
      </c>
      <c r="E91" t="s">
        <v>2579</v>
      </c>
      <c r="F91" t="s">
        <v>2269</v>
      </c>
      <c r="G91" t="s">
        <v>28</v>
      </c>
      <c r="H91" t="s">
        <v>28</v>
      </c>
      <c r="I91" t="s">
        <v>817</v>
      </c>
    </row>
    <row r="92" customHeight="1" spans="1:9">
      <c r="A92" t="s">
        <v>2265</v>
      </c>
      <c r="B92" t="s">
        <v>16</v>
      </c>
      <c r="C92" t="s">
        <v>2580</v>
      </c>
      <c r="D92" t="s">
        <v>2581</v>
      </c>
      <c r="E92" t="s">
        <v>2582</v>
      </c>
      <c r="F92" t="s">
        <v>2470</v>
      </c>
      <c r="G92" t="s">
        <v>28</v>
      </c>
      <c r="H92" t="s">
        <v>28</v>
      </c>
      <c r="I92" t="s">
        <v>817</v>
      </c>
    </row>
    <row r="93" customHeight="1" spans="1:9">
      <c r="A93" t="s">
        <v>2265</v>
      </c>
      <c r="B93" t="s">
        <v>16</v>
      </c>
      <c r="C93" t="s">
        <v>2583</v>
      </c>
      <c r="D93" t="s">
        <v>2584</v>
      </c>
      <c r="E93" t="s">
        <v>2585</v>
      </c>
      <c r="F93" t="s">
        <v>2297</v>
      </c>
      <c r="G93" t="s">
        <v>28</v>
      </c>
      <c r="H93" t="s">
        <v>28</v>
      </c>
      <c r="I93" t="s">
        <v>817</v>
      </c>
    </row>
    <row r="94" customHeight="1" spans="1:9">
      <c r="A94" t="s">
        <v>2265</v>
      </c>
      <c r="B94" t="s">
        <v>16</v>
      </c>
      <c r="C94" t="s">
        <v>2586</v>
      </c>
      <c r="D94" t="s">
        <v>2587</v>
      </c>
      <c r="E94" t="s">
        <v>2588</v>
      </c>
      <c r="F94" t="s">
        <v>2525</v>
      </c>
      <c r="G94" t="s">
        <v>28</v>
      </c>
      <c r="H94" t="s">
        <v>28</v>
      </c>
      <c r="I94" t="s">
        <v>817</v>
      </c>
    </row>
    <row r="95" customHeight="1" spans="1:9">
      <c r="A95" t="s">
        <v>2265</v>
      </c>
      <c r="B95" t="s">
        <v>16</v>
      </c>
      <c r="C95" t="s">
        <v>2589</v>
      </c>
      <c r="D95" t="s">
        <v>2590</v>
      </c>
      <c r="E95" t="s">
        <v>2591</v>
      </c>
      <c r="F95" t="s">
        <v>2470</v>
      </c>
      <c r="G95" t="s">
        <v>28</v>
      </c>
      <c r="H95" t="s">
        <v>28</v>
      </c>
      <c r="I95" t="s">
        <v>817</v>
      </c>
    </row>
    <row r="96" customHeight="1" spans="1:9">
      <c r="A96" t="s">
        <v>2265</v>
      </c>
      <c r="B96" t="s">
        <v>16</v>
      </c>
      <c r="C96" t="s">
        <v>2592</v>
      </c>
      <c r="D96" t="s">
        <v>2593</v>
      </c>
      <c r="E96" t="s">
        <v>2594</v>
      </c>
      <c r="F96" t="s">
        <v>2595</v>
      </c>
      <c r="G96" t="s">
        <v>28</v>
      </c>
      <c r="H96" t="s">
        <v>28</v>
      </c>
      <c r="I96" t="s">
        <v>817</v>
      </c>
    </row>
    <row r="97" customHeight="1" spans="1:9">
      <c r="A97" t="s">
        <v>2265</v>
      </c>
      <c r="B97" t="s">
        <v>16</v>
      </c>
      <c r="C97" t="s">
        <v>2596</v>
      </c>
      <c r="D97" t="s">
        <v>2597</v>
      </c>
      <c r="E97" t="s">
        <v>2598</v>
      </c>
      <c r="F97" t="s">
        <v>2599</v>
      </c>
      <c r="G97" t="s">
        <v>28</v>
      </c>
      <c r="H97" t="s">
        <v>28</v>
      </c>
      <c r="I97" t="s">
        <v>817</v>
      </c>
    </row>
    <row r="98" customHeight="1" spans="1:9">
      <c r="A98" t="s">
        <v>2265</v>
      </c>
      <c r="B98" t="s">
        <v>16</v>
      </c>
      <c r="C98" t="s">
        <v>2600</v>
      </c>
      <c r="D98" t="s">
        <v>2601</v>
      </c>
      <c r="E98" t="s">
        <v>2602</v>
      </c>
      <c r="F98" t="s">
        <v>2269</v>
      </c>
      <c r="G98" t="s">
        <v>28</v>
      </c>
      <c r="H98" t="s">
        <v>28</v>
      </c>
      <c r="I98" t="s">
        <v>817</v>
      </c>
    </row>
    <row r="99" customHeight="1" spans="1:9">
      <c r="A99" t="s">
        <v>2265</v>
      </c>
      <c r="B99" t="s">
        <v>16</v>
      </c>
      <c r="C99" t="s">
        <v>2603</v>
      </c>
      <c r="D99" t="s">
        <v>2604</v>
      </c>
      <c r="E99" t="s">
        <v>2605</v>
      </c>
      <c r="F99" t="s">
        <v>2376</v>
      </c>
      <c r="G99" t="s">
        <v>2606</v>
      </c>
      <c r="H99" t="s">
        <v>28</v>
      </c>
      <c r="I99" t="s">
        <v>817</v>
      </c>
    </row>
    <row r="100" customHeight="1" spans="1:9">
      <c r="A100" t="s">
        <v>2265</v>
      </c>
      <c r="B100" t="s">
        <v>16</v>
      </c>
      <c r="C100" t="s">
        <v>2607</v>
      </c>
      <c r="D100" t="s">
        <v>2608</v>
      </c>
      <c r="E100" t="s">
        <v>2609</v>
      </c>
      <c r="F100" t="s">
        <v>2376</v>
      </c>
      <c r="G100" t="s">
        <v>28</v>
      </c>
      <c r="H100" t="s">
        <v>28</v>
      </c>
      <c r="I100" t="s">
        <v>817</v>
      </c>
    </row>
    <row r="101" customHeight="1" spans="1:9">
      <c r="A101" t="s">
        <v>2265</v>
      </c>
      <c r="B101" t="s">
        <v>16</v>
      </c>
      <c r="C101" t="s">
        <v>2610</v>
      </c>
      <c r="D101" t="s">
        <v>2611</v>
      </c>
      <c r="E101" t="s">
        <v>2612</v>
      </c>
      <c r="F101" t="s">
        <v>2613</v>
      </c>
      <c r="G101" t="s">
        <v>28</v>
      </c>
      <c r="H101" t="s">
        <v>28</v>
      </c>
      <c r="I101" t="s">
        <v>817</v>
      </c>
    </row>
    <row r="102" customHeight="1" spans="1:9">
      <c r="A102" t="s">
        <v>2265</v>
      </c>
      <c r="B102" t="s">
        <v>16</v>
      </c>
      <c r="C102" t="s">
        <v>2614</v>
      </c>
      <c r="D102" t="s">
        <v>2615</v>
      </c>
      <c r="E102" t="s">
        <v>2616</v>
      </c>
      <c r="F102" t="s">
        <v>53</v>
      </c>
      <c r="G102" t="s">
        <v>28</v>
      </c>
      <c r="H102" t="s">
        <v>28</v>
      </c>
      <c r="I102" t="s">
        <v>817</v>
      </c>
    </row>
    <row r="103" customHeight="1" spans="1:9">
      <c r="A103" t="s">
        <v>2265</v>
      </c>
      <c r="B103" t="s">
        <v>16</v>
      </c>
      <c r="C103" t="s">
        <v>2617</v>
      </c>
      <c r="D103" t="s">
        <v>2618</v>
      </c>
      <c r="E103" t="s">
        <v>2619</v>
      </c>
      <c r="F103" t="s">
        <v>2273</v>
      </c>
      <c r="G103" t="s">
        <v>28</v>
      </c>
      <c r="H103" t="s">
        <v>28</v>
      </c>
      <c r="I103" t="s">
        <v>817</v>
      </c>
    </row>
    <row r="104" customHeight="1" spans="1:9">
      <c r="A104" t="s">
        <v>2265</v>
      </c>
      <c r="B104" t="s">
        <v>16</v>
      </c>
      <c r="C104" t="s">
        <v>2620</v>
      </c>
      <c r="D104" t="s">
        <v>2621</v>
      </c>
      <c r="E104" t="s">
        <v>2622</v>
      </c>
      <c r="F104" t="s">
        <v>2301</v>
      </c>
      <c r="G104" t="s">
        <v>28</v>
      </c>
      <c r="H104" t="s">
        <v>28</v>
      </c>
      <c r="I104" t="s">
        <v>817</v>
      </c>
    </row>
    <row r="105" customHeight="1" spans="1:9">
      <c r="A105" t="s">
        <v>2265</v>
      </c>
      <c r="B105" t="s">
        <v>16</v>
      </c>
      <c r="C105" t="s">
        <v>2623</v>
      </c>
      <c r="D105" t="s">
        <v>2624</v>
      </c>
      <c r="E105" t="s">
        <v>2625</v>
      </c>
      <c r="F105" t="s">
        <v>2626</v>
      </c>
      <c r="G105" t="s">
        <v>28</v>
      </c>
      <c r="H105" t="s">
        <v>28</v>
      </c>
      <c r="I105" t="s">
        <v>817</v>
      </c>
    </row>
    <row r="106" customHeight="1" spans="1:9">
      <c r="A106" t="s">
        <v>2265</v>
      </c>
      <c r="B106" t="s">
        <v>16</v>
      </c>
      <c r="C106" t="s">
        <v>2627</v>
      </c>
      <c r="D106" t="s">
        <v>2628</v>
      </c>
      <c r="E106" t="s">
        <v>2629</v>
      </c>
      <c r="F106" t="s">
        <v>2428</v>
      </c>
      <c r="G106" t="s">
        <v>28</v>
      </c>
      <c r="H106" t="s">
        <v>28</v>
      </c>
      <c r="I106" t="s">
        <v>817</v>
      </c>
    </row>
    <row r="107" customHeight="1" spans="1:9">
      <c r="A107" t="s">
        <v>2265</v>
      </c>
      <c r="B107" t="s">
        <v>16</v>
      </c>
      <c r="C107" t="s">
        <v>2630</v>
      </c>
      <c r="D107" t="s">
        <v>2631</v>
      </c>
      <c r="E107" t="s">
        <v>2632</v>
      </c>
      <c r="F107" t="s">
        <v>53</v>
      </c>
      <c r="G107" t="s">
        <v>2633</v>
      </c>
      <c r="H107" t="s">
        <v>28</v>
      </c>
      <c r="I107" t="s">
        <v>817</v>
      </c>
    </row>
    <row r="108" customHeight="1" spans="1:9">
      <c r="A108" t="s">
        <v>2265</v>
      </c>
      <c r="B108" t="s">
        <v>16</v>
      </c>
      <c r="C108" t="s">
        <v>2634</v>
      </c>
      <c r="D108" t="s">
        <v>2635</v>
      </c>
      <c r="E108" t="s">
        <v>2636</v>
      </c>
      <c r="F108" t="s">
        <v>2344</v>
      </c>
      <c r="G108" t="s">
        <v>28</v>
      </c>
      <c r="H108" t="s">
        <v>28</v>
      </c>
      <c r="I108" t="s">
        <v>817</v>
      </c>
    </row>
    <row r="109" customHeight="1" spans="1:9">
      <c r="A109" t="s">
        <v>2265</v>
      </c>
      <c r="B109" t="s">
        <v>16</v>
      </c>
      <c r="C109" t="s">
        <v>2637</v>
      </c>
      <c r="D109" t="s">
        <v>2638</v>
      </c>
      <c r="E109" t="s">
        <v>2639</v>
      </c>
      <c r="F109" t="s">
        <v>2273</v>
      </c>
      <c r="G109" t="s">
        <v>28</v>
      </c>
      <c r="H109" t="s">
        <v>28</v>
      </c>
      <c r="I109" t="s">
        <v>817</v>
      </c>
    </row>
    <row r="110" customHeight="1" spans="1:9">
      <c r="A110" t="s">
        <v>2265</v>
      </c>
      <c r="B110" t="s">
        <v>16</v>
      </c>
      <c r="C110" t="s">
        <v>2640</v>
      </c>
      <c r="D110" t="s">
        <v>2641</v>
      </c>
      <c r="E110" t="s">
        <v>2642</v>
      </c>
      <c r="F110" t="s">
        <v>2325</v>
      </c>
      <c r="G110" t="s">
        <v>2643</v>
      </c>
      <c r="H110" t="s">
        <v>28</v>
      </c>
      <c r="I110" t="s">
        <v>817</v>
      </c>
    </row>
    <row r="111" customHeight="1" spans="1:9">
      <c r="A111" t="s">
        <v>2265</v>
      </c>
      <c r="B111" t="s">
        <v>16</v>
      </c>
      <c r="C111" t="s">
        <v>2644</v>
      </c>
      <c r="D111" t="s">
        <v>2645</v>
      </c>
      <c r="E111" t="s">
        <v>2646</v>
      </c>
      <c r="F111" t="s">
        <v>2351</v>
      </c>
      <c r="G111" t="s">
        <v>28</v>
      </c>
      <c r="H111" t="s">
        <v>28</v>
      </c>
      <c r="I111" t="s">
        <v>817</v>
      </c>
    </row>
    <row r="112" customHeight="1" spans="1:9">
      <c r="A112" t="s">
        <v>2265</v>
      </c>
      <c r="B112" t="s">
        <v>16</v>
      </c>
      <c r="C112" t="s">
        <v>2647</v>
      </c>
      <c r="D112" t="s">
        <v>2648</v>
      </c>
      <c r="E112" t="s">
        <v>2649</v>
      </c>
      <c r="F112" t="s">
        <v>2532</v>
      </c>
      <c r="G112" t="s">
        <v>28</v>
      </c>
      <c r="H112" t="s">
        <v>28</v>
      </c>
      <c r="I112" t="s">
        <v>817</v>
      </c>
    </row>
    <row r="113" customHeight="1" spans="1:9">
      <c r="A113" t="s">
        <v>2265</v>
      </c>
      <c r="B113" t="s">
        <v>16</v>
      </c>
      <c r="C113" t="s">
        <v>2650</v>
      </c>
      <c r="D113" t="s">
        <v>2651</v>
      </c>
      <c r="E113" t="s">
        <v>2652</v>
      </c>
      <c r="F113" t="s">
        <v>2653</v>
      </c>
      <c r="G113" t="s">
        <v>28</v>
      </c>
      <c r="H113" t="s">
        <v>28</v>
      </c>
      <c r="I113" t="s">
        <v>817</v>
      </c>
    </row>
    <row r="114" customHeight="1" spans="1:9">
      <c r="A114" t="s">
        <v>2265</v>
      </c>
      <c r="B114" t="s">
        <v>16</v>
      </c>
      <c r="C114" t="s">
        <v>2654</v>
      </c>
      <c r="D114" t="s">
        <v>2651</v>
      </c>
      <c r="E114" t="s">
        <v>2655</v>
      </c>
      <c r="F114" t="s">
        <v>2626</v>
      </c>
      <c r="G114" t="s">
        <v>28</v>
      </c>
      <c r="H114" t="s">
        <v>28</v>
      </c>
      <c r="I114" t="s">
        <v>817</v>
      </c>
    </row>
    <row r="115" customHeight="1" spans="1:9">
      <c r="A115" t="s">
        <v>2265</v>
      </c>
      <c r="B115" t="s">
        <v>16</v>
      </c>
      <c r="C115" t="s">
        <v>2656</v>
      </c>
      <c r="D115" t="s">
        <v>2657</v>
      </c>
      <c r="E115" t="s">
        <v>2658</v>
      </c>
      <c r="F115" t="s">
        <v>2428</v>
      </c>
      <c r="G115" t="s">
        <v>28</v>
      </c>
      <c r="H115" t="s">
        <v>28</v>
      </c>
      <c r="I115" t="s">
        <v>817</v>
      </c>
    </row>
    <row r="116" customHeight="1" spans="1:9">
      <c r="A116" t="s">
        <v>2265</v>
      </c>
      <c r="B116" t="s">
        <v>16</v>
      </c>
      <c r="C116" t="s">
        <v>2659</v>
      </c>
      <c r="D116" t="s">
        <v>2660</v>
      </c>
      <c r="E116" t="s">
        <v>2661</v>
      </c>
      <c r="F116" t="s">
        <v>2662</v>
      </c>
      <c r="G116" t="s">
        <v>28</v>
      </c>
      <c r="H116" t="s">
        <v>28</v>
      </c>
      <c r="I116" t="s">
        <v>817</v>
      </c>
    </row>
    <row r="117" customHeight="1" spans="1:9">
      <c r="A117" t="s">
        <v>2265</v>
      </c>
      <c r="B117" t="s">
        <v>16</v>
      </c>
      <c r="C117" t="s">
        <v>2663</v>
      </c>
      <c r="D117" t="s">
        <v>2664</v>
      </c>
      <c r="E117" t="s">
        <v>2665</v>
      </c>
      <c r="F117" t="s">
        <v>2351</v>
      </c>
      <c r="G117" t="s">
        <v>28</v>
      </c>
      <c r="H117" t="s">
        <v>28</v>
      </c>
      <c r="I117" t="s">
        <v>817</v>
      </c>
    </row>
    <row r="118" customHeight="1" spans="1:9">
      <c r="A118" t="s">
        <v>2265</v>
      </c>
      <c r="B118" t="s">
        <v>16</v>
      </c>
      <c r="C118" t="s">
        <v>2666</v>
      </c>
      <c r="D118" t="s">
        <v>2667</v>
      </c>
      <c r="E118" t="s">
        <v>2668</v>
      </c>
      <c r="F118" t="s">
        <v>2340</v>
      </c>
      <c r="G118" t="s">
        <v>28</v>
      </c>
      <c r="H118" t="s">
        <v>28</v>
      </c>
      <c r="I118" t="s">
        <v>817</v>
      </c>
    </row>
    <row r="119" customHeight="1" spans="1:9">
      <c r="A119" t="s">
        <v>2265</v>
      </c>
      <c r="B119" t="s">
        <v>16</v>
      </c>
      <c r="C119" t="s">
        <v>2669</v>
      </c>
      <c r="D119" t="s">
        <v>2670</v>
      </c>
      <c r="E119" t="s">
        <v>2671</v>
      </c>
      <c r="F119" t="s">
        <v>2336</v>
      </c>
      <c r="G119" t="s">
        <v>2672</v>
      </c>
      <c r="H119" t="s">
        <v>28</v>
      </c>
      <c r="I119" t="s">
        <v>817</v>
      </c>
    </row>
    <row r="120" customHeight="1" spans="1:9">
      <c r="A120" t="s">
        <v>2265</v>
      </c>
      <c r="B120" t="s">
        <v>16</v>
      </c>
      <c r="C120" t="s">
        <v>2673</v>
      </c>
      <c r="D120" t="s">
        <v>2674</v>
      </c>
      <c r="E120" t="s">
        <v>2675</v>
      </c>
      <c r="F120" t="s">
        <v>2676</v>
      </c>
      <c r="G120" t="s">
        <v>28</v>
      </c>
      <c r="H120" t="s">
        <v>28</v>
      </c>
      <c r="I120" t="s">
        <v>817</v>
      </c>
    </row>
    <row r="121" customHeight="1" spans="1:9">
      <c r="A121" t="s">
        <v>2265</v>
      </c>
      <c r="B121" t="s">
        <v>16</v>
      </c>
      <c r="C121" t="s">
        <v>2677</v>
      </c>
      <c r="D121" t="s">
        <v>2678</v>
      </c>
      <c r="E121" t="s">
        <v>2679</v>
      </c>
      <c r="F121" t="s">
        <v>2340</v>
      </c>
      <c r="G121" t="s">
        <v>28</v>
      </c>
      <c r="H121" t="s">
        <v>28</v>
      </c>
      <c r="I121" t="s">
        <v>817</v>
      </c>
    </row>
    <row r="122" customHeight="1" spans="1:9">
      <c r="A122" t="s">
        <v>2265</v>
      </c>
      <c r="B122" t="s">
        <v>16</v>
      </c>
      <c r="C122" t="s">
        <v>2680</v>
      </c>
      <c r="D122" t="s">
        <v>2681</v>
      </c>
      <c r="E122" t="s">
        <v>2682</v>
      </c>
      <c r="F122" t="s">
        <v>2428</v>
      </c>
      <c r="G122" t="s">
        <v>28</v>
      </c>
      <c r="H122" t="s">
        <v>28</v>
      </c>
      <c r="I122" t="s">
        <v>817</v>
      </c>
    </row>
    <row r="123" customHeight="1" spans="1:9">
      <c r="A123" t="s">
        <v>2265</v>
      </c>
      <c r="B123" t="s">
        <v>16</v>
      </c>
      <c r="C123" t="s">
        <v>2683</v>
      </c>
      <c r="D123" t="s">
        <v>2684</v>
      </c>
      <c r="E123" t="s">
        <v>2685</v>
      </c>
      <c r="F123" t="s">
        <v>2269</v>
      </c>
      <c r="G123" t="s">
        <v>28</v>
      </c>
      <c r="H123" t="s">
        <v>28</v>
      </c>
      <c r="I123" t="s">
        <v>817</v>
      </c>
    </row>
    <row r="124" customHeight="1" spans="1:9">
      <c r="A124" t="s">
        <v>2265</v>
      </c>
      <c r="B124" t="s">
        <v>16</v>
      </c>
      <c r="C124" t="s">
        <v>2686</v>
      </c>
      <c r="D124" t="s">
        <v>2687</v>
      </c>
      <c r="E124" t="s">
        <v>2688</v>
      </c>
      <c r="F124" t="s">
        <v>2689</v>
      </c>
      <c r="G124" t="s">
        <v>28</v>
      </c>
      <c r="H124" t="s">
        <v>28</v>
      </c>
      <c r="I124" t="s">
        <v>817</v>
      </c>
    </row>
    <row r="125" customHeight="1" spans="1:9">
      <c r="A125" t="s">
        <v>2265</v>
      </c>
      <c r="B125" t="s">
        <v>16</v>
      </c>
      <c r="C125" t="s">
        <v>2690</v>
      </c>
      <c r="D125" t="s">
        <v>2691</v>
      </c>
      <c r="E125" t="s">
        <v>2692</v>
      </c>
      <c r="F125" t="s">
        <v>2689</v>
      </c>
      <c r="G125" t="s">
        <v>28</v>
      </c>
      <c r="H125" t="s">
        <v>28</v>
      </c>
      <c r="I125" t="s">
        <v>817</v>
      </c>
    </row>
    <row r="126" customHeight="1" spans="1:9">
      <c r="A126" t="s">
        <v>2265</v>
      </c>
      <c r="B126" t="s">
        <v>16</v>
      </c>
      <c r="C126" t="s">
        <v>2693</v>
      </c>
      <c r="D126" t="s">
        <v>2694</v>
      </c>
      <c r="E126" t="s">
        <v>2695</v>
      </c>
      <c r="F126" t="s">
        <v>2536</v>
      </c>
      <c r="G126" t="s">
        <v>28</v>
      </c>
      <c r="H126" t="s">
        <v>28</v>
      </c>
      <c r="I126" t="s">
        <v>817</v>
      </c>
    </row>
    <row r="127" customHeight="1" spans="1:9">
      <c r="A127" t="s">
        <v>2265</v>
      </c>
      <c r="B127" t="s">
        <v>16</v>
      </c>
      <c r="C127" t="s">
        <v>2696</v>
      </c>
      <c r="D127" t="s">
        <v>2697</v>
      </c>
      <c r="E127" t="s">
        <v>2698</v>
      </c>
      <c r="F127" t="s">
        <v>2344</v>
      </c>
      <c r="G127" t="s">
        <v>28</v>
      </c>
      <c r="H127" t="s">
        <v>28</v>
      </c>
      <c r="I127" t="s">
        <v>817</v>
      </c>
    </row>
    <row r="128" customHeight="1" spans="1:9">
      <c r="A128" t="s">
        <v>2265</v>
      </c>
      <c r="B128" t="s">
        <v>16</v>
      </c>
      <c r="C128" t="s">
        <v>2699</v>
      </c>
      <c r="D128" t="s">
        <v>2700</v>
      </c>
      <c r="E128" t="s">
        <v>2701</v>
      </c>
      <c r="F128" t="s">
        <v>2499</v>
      </c>
      <c r="G128" t="s">
        <v>28</v>
      </c>
      <c r="H128" t="s">
        <v>28</v>
      </c>
      <c r="I128" t="s">
        <v>817</v>
      </c>
    </row>
    <row r="129" customHeight="1" spans="1:9">
      <c r="A129" t="s">
        <v>2265</v>
      </c>
      <c r="B129" t="s">
        <v>16</v>
      </c>
      <c r="C129" t="s">
        <v>2702</v>
      </c>
      <c r="D129" t="s">
        <v>2703</v>
      </c>
      <c r="E129" t="s">
        <v>2704</v>
      </c>
      <c r="F129" t="s">
        <v>2705</v>
      </c>
      <c r="G129" t="s">
        <v>2706</v>
      </c>
      <c r="H129" t="s">
        <v>28</v>
      </c>
      <c r="I129" t="s">
        <v>817</v>
      </c>
    </row>
    <row r="130" customHeight="1" spans="1:9">
      <c r="A130" t="s">
        <v>2265</v>
      </c>
      <c r="B130" t="s">
        <v>16</v>
      </c>
      <c r="C130" t="s">
        <v>2707</v>
      </c>
      <c r="D130" t="s">
        <v>2708</v>
      </c>
      <c r="E130" t="s">
        <v>2709</v>
      </c>
      <c r="F130" t="s">
        <v>2376</v>
      </c>
      <c r="G130" t="s">
        <v>28</v>
      </c>
      <c r="H130" t="s">
        <v>28</v>
      </c>
      <c r="I130" t="s">
        <v>817</v>
      </c>
    </row>
    <row r="131" customHeight="1" spans="1:9">
      <c r="A131" t="s">
        <v>2265</v>
      </c>
      <c r="B131" t="s">
        <v>16</v>
      </c>
      <c r="C131" t="s">
        <v>2710</v>
      </c>
      <c r="D131" t="s">
        <v>2711</v>
      </c>
      <c r="E131" t="s">
        <v>2712</v>
      </c>
      <c r="F131" t="s">
        <v>2428</v>
      </c>
      <c r="G131" t="s">
        <v>28</v>
      </c>
      <c r="H131" t="s">
        <v>28</v>
      </c>
      <c r="I131" t="s">
        <v>817</v>
      </c>
    </row>
    <row r="132" customHeight="1" spans="1:9">
      <c r="A132" t="s">
        <v>2265</v>
      </c>
      <c r="B132" t="s">
        <v>16</v>
      </c>
      <c r="C132" t="s">
        <v>2713</v>
      </c>
      <c r="D132" t="s">
        <v>2714</v>
      </c>
      <c r="E132" t="s">
        <v>2715</v>
      </c>
      <c r="F132" t="s">
        <v>2344</v>
      </c>
      <c r="G132" t="s">
        <v>28</v>
      </c>
      <c r="H132" t="s">
        <v>28</v>
      </c>
      <c r="I132" t="s">
        <v>817</v>
      </c>
    </row>
    <row r="133" customHeight="1" spans="1:9">
      <c r="A133" t="s">
        <v>2265</v>
      </c>
      <c r="B133" t="s">
        <v>16</v>
      </c>
      <c r="C133" t="s">
        <v>2716</v>
      </c>
      <c r="D133" t="s">
        <v>2717</v>
      </c>
      <c r="E133" t="s">
        <v>2718</v>
      </c>
      <c r="F133" t="s">
        <v>2325</v>
      </c>
      <c r="G133" t="s">
        <v>28</v>
      </c>
      <c r="H133" t="s">
        <v>28</v>
      </c>
      <c r="I133" t="s">
        <v>817</v>
      </c>
    </row>
    <row r="134" customHeight="1" spans="1:9">
      <c r="A134" t="s">
        <v>2265</v>
      </c>
      <c r="B134" t="s">
        <v>16</v>
      </c>
      <c r="C134" t="s">
        <v>2719</v>
      </c>
      <c r="D134" t="s">
        <v>2720</v>
      </c>
      <c r="E134" t="s">
        <v>2721</v>
      </c>
      <c r="F134" t="s">
        <v>2301</v>
      </c>
      <c r="G134" t="s">
        <v>28</v>
      </c>
      <c r="H134" t="s">
        <v>28</v>
      </c>
      <c r="I134" t="s">
        <v>817</v>
      </c>
    </row>
    <row r="135" customHeight="1" spans="1:9">
      <c r="A135" t="s">
        <v>2265</v>
      </c>
      <c r="B135" t="s">
        <v>16</v>
      </c>
      <c r="C135" t="s">
        <v>2722</v>
      </c>
      <c r="D135" t="s">
        <v>2723</v>
      </c>
      <c r="E135" t="s">
        <v>2724</v>
      </c>
      <c r="F135" t="s">
        <v>2301</v>
      </c>
      <c r="G135" t="s">
        <v>28</v>
      </c>
      <c r="H135" t="s">
        <v>28</v>
      </c>
      <c r="I135" t="s">
        <v>817</v>
      </c>
    </row>
    <row r="136" customHeight="1" spans="1:9">
      <c r="A136" t="s">
        <v>2265</v>
      </c>
      <c r="B136" t="s">
        <v>16</v>
      </c>
      <c r="C136" t="s">
        <v>2725</v>
      </c>
      <c r="D136" t="s">
        <v>2726</v>
      </c>
      <c r="E136" t="s">
        <v>2727</v>
      </c>
      <c r="F136" t="s">
        <v>2728</v>
      </c>
      <c r="G136" t="s">
        <v>28</v>
      </c>
      <c r="H136" t="s">
        <v>28</v>
      </c>
      <c r="I136" t="s">
        <v>817</v>
      </c>
    </row>
    <row r="137" customHeight="1" spans="1:9">
      <c r="A137" t="s">
        <v>2265</v>
      </c>
      <c r="B137" t="s">
        <v>16</v>
      </c>
      <c r="C137" t="s">
        <v>2729</v>
      </c>
      <c r="D137" t="s">
        <v>2730</v>
      </c>
      <c r="E137" t="s">
        <v>2731</v>
      </c>
      <c r="F137" t="s">
        <v>2340</v>
      </c>
      <c r="G137" t="s">
        <v>28</v>
      </c>
      <c r="H137" t="s">
        <v>28</v>
      </c>
      <c r="I137" t="s">
        <v>817</v>
      </c>
    </row>
    <row r="138" customHeight="1" spans="1:9">
      <c r="A138" t="s">
        <v>2265</v>
      </c>
      <c r="B138" t="s">
        <v>16</v>
      </c>
      <c r="C138" t="s">
        <v>2732</v>
      </c>
      <c r="D138" t="s">
        <v>2733</v>
      </c>
      <c r="E138" t="s">
        <v>2734</v>
      </c>
      <c r="F138" t="s">
        <v>2325</v>
      </c>
      <c r="G138" t="s">
        <v>28</v>
      </c>
      <c r="H138" t="s">
        <v>28</v>
      </c>
      <c r="I138" t="s">
        <v>817</v>
      </c>
    </row>
    <row r="139" customHeight="1" spans="1:9">
      <c r="A139" t="s">
        <v>2265</v>
      </c>
      <c r="B139" t="s">
        <v>16</v>
      </c>
      <c r="C139" t="s">
        <v>2735</v>
      </c>
      <c r="D139" t="s">
        <v>2736</v>
      </c>
      <c r="E139" t="s">
        <v>2737</v>
      </c>
      <c r="F139" t="s">
        <v>2269</v>
      </c>
      <c r="G139" t="s">
        <v>28</v>
      </c>
      <c r="H139" t="s">
        <v>28</v>
      </c>
      <c r="I139" t="s">
        <v>817</v>
      </c>
    </row>
    <row r="140" customHeight="1" spans="1:9">
      <c r="A140" t="s">
        <v>2265</v>
      </c>
      <c r="B140" t="s">
        <v>16</v>
      </c>
      <c r="C140" t="s">
        <v>2738</v>
      </c>
      <c r="D140" t="s">
        <v>2739</v>
      </c>
      <c r="E140" t="s">
        <v>2740</v>
      </c>
      <c r="F140" t="s">
        <v>2428</v>
      </c>
      <c r="G140" t="s">
        <v>28</v>
      </c>
      <c r="H140" t="s">
        <v>28</v>
      </c>
      <c r="I140" t="s">
        <v>817</v>
      </c>
    </row>
    <row r="141" customHeight="1" spans="1:9">
      <c r="A141" t="s">
        <v>2265</v>
      </c>
      <c r="B141" t="s">
        <v>16</v>
      </c>
      <c r="C141" t="s">
        <v>2741</v>
      </c>
      <c r="D141" t="s">
        <v>2742</v>
      </c>
      <c r="E141" t="s">
        <v>2743</v>
      </c>
      <c r="F141" t="s">
        <v>2269</v>
      </c>
      <c r="G141" t="s">
        <v>28</v>
      </c>
      <c r="H141" t="s">
        <v>28</v>
      </c>
      <c r="I141" t="s">
        <v>817</v>
      </c>
    </row>
    <row r="142" customHeight="1" spans="1:9">
      <c r="A142" t="s">
        <v>2265</v>
      </c>
      <c r="B142" t="s">
        <v>16</v>
      </c>
      <c r="C142" t="s">
        <v>2744</v>
      </c>
      <c r="D142" t="s">
        <v>2745</v>
      </c>
      <c r="E142" t="s">
        <v>2746</v>
      </c>
      <c r="F142" t="s">
        <v>2344</v>
      </c>
      <c r="G142" t="s">
        <v>28</v>
      </c>
      <c r="H142" t="s">
        <v>28</v>
      </c>
      <c r="I142" t="s">
        <v>817</v>
      </c>
    </row>
    <row r="143" customHeight="1" spans="1:9">
      <c r="A143" t="s">
        <v>2265</v>
      </c>
      <c r="B143" t="s">
        <v>16</v>
      </c>
      <c r="C143" t="s">
        <v>2747</v>
      </c>
      <c r="D143" t="s">
        <v>2748</v>
      </c>
      <c r="E143" t="s">
        <v>2749</v>
      </c>
      <c r="F143" t="s">
        <v>2305</v>
      </c>
      <c r="G143" t="s">
        <v>28</v>
      </c>
      <c r="H143" t="s">
        <v>28</v>
      </c>
      <c r="I143" t="s">
        <v>817</v>
      </c>
    </row>
    <row r="144" customHeight="1" spans="1:9">
      <c r="A144" t="s">
        <v>2265</v>
      </c>
      <c r="B144" t="s">
        <v>16</v>
      </c>
      <c r="C144" t="s">
        <v>2750</v>
      </c>
      <c r="D144" t="s">
        <v>2751</v>
      </c>
      <c r="E144" t="s">
        <v>2752</v>
      </c>
      <c r="F144" t="s">
        <v>2269</v>
      </c>
      <c r="G144" t="s">
        <v>2753</v>
      </c>
      <c r="H144" t="s">
        <v>28</v>
      </c>
      <c r="I144" t="s">
        <v>817</v>
      </c>
    </row>
    <row r="145" customHeight="1" spans="1:9">
      <c r="A145" t="s">
        <v>2265</v>
      </c>
      <c r="B145" t="s">
        <v>16</v>
      </c>
      <c r="C145" t="s">
        <v>2754</v>
      </c>
      <c r="D145" t="s">
        <v>2755</v>
      </c>
      <c r="E145" t="s">
        <v>2756</v>
      </c>
      <c r="F145" t="s">
        <v>2428</v>
      </c>
      <c r="G145" t="s">
        <v>2757</v>
      </c>
      <c r="H145" t="s">
        <v>28</v>
      </c>
      <c r="I145" t="s">
        <v>817</v>
      </c>
    </row>
    <row r="146" customHeight="1" spans="1:9">
      <c r="A146" t="s">
        <v>2265</v>
      </c>
      <c r="B146" t="s">
        <v>16</v>
      </c>
      <c r="C146" t="s">
        <v>2758</v>
      </c>
      <c r="D146" t="s">
        <v>2759</v>
      </c>
      <c r="E146" t="s">
        <v>2760</v>
      </c>
      <c r="F146" t="s">
        <v>2269</v>
      </c>
      <c r="G146" t="s">
        <v>28</v>
      </c>
      <c r="H146" t="s">
        <v>28</v>
      </c>
      <c r="I146" t="s">
        <v>817</v>
      </c>
    </row>
    <row r="147" customHeight="1" spans="1:9">
      <c r="A147" t="s">
        <v>2265</v>
      </c>
      <c r="B147" t="s">
        <v>16</v>
      </c>
      <c r="C147" t="s">
        <v>2761</v>
      </c>
      <c r="D147" t="s">
        <v>2762</v>
      </c>
      <c r="E147" t="s">
        <v>2763</v>
      </c>
      <c r="F147" t="s">
        <v>2392</v>
      </c>
      <c r="G147" t="s">
        <v>28</v>
      </c>
      <c r="H147" t="s">
        <v>28</v>
      </c>
      <c r="I147" t="s">
        <v>817</v>
      </c>
    </row>
    <row r="148" customHeight="1" spans="1:9">
      <c r="A148" t="s">
        <v>2265</v>
      </c>
      <c r="B148" t="s">
        <v>16</v>
      </c>
      <c r="C148" t="s">
        <v>2764</v>
      </c>
      <c r="D148" t="s">
        <v>2765</v>
      </c>
      <c r="E148" t="s">
        <v>2766</v>
      </c>
      <c r="F148" t="s">
        <v>2351</v>
      </c>
      <c r="G148" t="s">
        <v>2767</v>
      </c>
      <c r="H148" t="s">
        <v>28</v>
      </c>
      <c r="I148" t="s">
        <v>817</v>
      </c>
    </row>
    <row r="149" customHeight="1" spans="1:9">
      <c r="A149" t="s">
        <v>2265</v>
      </c>
      <c r="B149" t="s">
        <v>16</v>
      </c>
      <c r="C149" t="s">
        <v>2768</v>
      </c>
      <c r="D149" t="s">
        <v>2769</v>
      </c>
      <c r="E149" t="s">
        <v>2770</v>
      </c>
      <c r="F149" t="s">
        <v>2269</v>
      </c>
      <c r="G149" t="s">
        <v>28</v>
      </c>
      <c r="H149" t="s">
        <v>28</v>
      </c>
      <c r="I149" t="s">
        <v>817</v>
      </c>
    </row>
    <row r="150" customHeight="1" spans="1:9">
      <c r="A150" t="s">
        <v>2265</v>
      </c>
      <c r="B150" t="s">
        <v>16</v>
      </c>
      <c r="C150" t="s">
        <v>2771</v>
      </c>
      <c r="D150" t="s">
        <v>2772</v>
      </c>
      <c r="E150" t="s">
        <v>2773</v>
      </c>
      <c r="F150" t="s">
        <v>2774</v>
      </c>
      <c r="G150" t="s">
        <v>28</v>
      </c>
      <c r="H150" t="s">
        <v>28</v>
      </c>
      <c r="I150" t="s">
        <v>817</v>
      </c>
    </row>
    <row r="151" customHeight="1" spans="1:9">
      <c r="A151" t="s">
        <v>2265</v>
      </c>
      <c r="B151" t="s">
        <v>16</v>
      </c>
      <c r="C151" t="s">
        <v>2775</v>
      </c>
      <c r="D151" t="s">
        <v>2776</v>
      </c>
      <c r="E151" t="s">
        <v>2777</v>
      </c>
      <c r="F151" t="s">
        <v>2676</v>
      </c>
      <c r="G151" t="s">
        <v>28</v>
      </c>
      <c r="H151" t="s">
        <v>28</v>
      </c>
      <c r="I151" t="s">
        <v>817</v>
      </c>
    </row>
    <row r="152" customHeight="1" spans="1:9">
      <c r="A152" t="s">
        <v>2265</v>
      </c>
      <c r="B152" t="s">
        <v>16</v>
      </c>
      <c r="C152" t="s">
        <v>2778</v>
      </c>
      <c r="D152" t="s">
        <v>2779</v>
      </c>
      <c r="E152" t="s">
        <v>2780</v>
      </c>
      <c r="F152" t="s">
        <v>2351</v>
      </c>
      <c r="G152" t="s">
        <v>28</v>
      </c>
      <c r="H152" t="s">
        <v>28</v>
      </c>
      <c r="I152" t="s">
        <v>817</v>
      </c>
    </row>
    <row r="153" customHeight="1" spans="1:9">
      <c r="A153" t="s">
        <v>2265</v>
      </c>
      <c r="B153" t="s">
        <v>16</v>
      </c>
      <c r="C153" t="s">
        <v>2781</v>
      </c>
      <c r="D153" t="s">
        <v>2782</v>
      </c>
      <c r="E153" t="s">
        <v>2783</v>
      </c>
      <c r="F153" t="s">
        <v>2269</v>
      </c>
      <c r="G153" t="s">
        <v>28</v>
      </c>
      <c r="H153" t="s">
        <v>28</v>
      </c>
      <c r="I153" t="s">
        <v>817</v>
      </c>
    </row>
    <row r="154" customHeight="1" spans="1:9">
      <c r="A154" t="s">
        <v>2265</v>
      </c>
      <c r="B154" t="s">
        <v>16</v>
      </c>
      <c r="C154" t="s">
        <v>2784</v>
      </c>
      <c r="D154" t="s">
        <v>2785</v>
      </c>
      <c r="E154" t="s">
        <v>2786</v>
      </c>
      <c r="F154" t="s">
        <v>2351</v>
      </c>
      <c r="G154" t="s">
        <v>28</v>
      </c>
      <c r="H154" t="s">
        <v>28</v>
      </c>
      <c r="I154" t="s">
        <v>817</v>
      </c>
    </row>
    <row r="155" customHeight="1" spans="1:9">
      <c r="A155" t="s">
        <v>2265</v>
      </c>
      <c r="B155" t="s">
        <v>16</v>
      </c>
      <c r="C155" t="s">
        <v>2787</v>
      </c>
      <c r="D155" t="s">
        <v>2788</v>
      </c>
      <c r="E155" t="s">
        <v>2789</v>
      </c>
      <c r="F155" t="s">
        <v>2273</v>
      </c>
      <c r="G155" t="s">
        <v>28</v>
      </c>
      <c r="H155" t="s">
        <v>28</v>
      </c>
      <c r="I155" t="s">
        <v>817</v>
      </c>
    </row>
    <row r="156" customHeight="1" spans="1:9">
      <c r="A156" t="s">
        <v>2265</v>
      </c>
      <c r="B156" t="s">
        <v>16</v>
      </c>
      <c r="C156" t="s">
        <v>2790</v>
      </c>
      <c r="D156" t="s">
        <v>2791</v>
      </c>
      <c r="E156" t="s">
        <v>2792</v>
      </c>
      <c r="F156" t="s">
        <v>2376</v>
      </c>
      <c r="G156" t="s">
        <v>28</v>
      </c>
      <c r="H156" t="s">
        <v>28</v>
      </c>
      <c r="I156" t="s">
        <v>817</v>
      </c>
    </row>
    <row r="157" customHeight="1" spans="1:9">
      <c r="A157" t="s">
        <v>2265</v>
      </c>
      <c r="B157" t="s">
        <v>16</v>
      </c>
      <c r="C157" t="s">
        <v>2793</v>
      </c>
      <c r="D157" t="s">
        <v>2794</v>
      </c>
      <c r="E157" t="s">
        <v>2795</v>
      </c>
      <c r="F157" t="s">
        <v>2332</v>
      </c>
      <c r="G157" t="s">
        <v>28</v>
      </c>
      <c r="H157" t="s">
        <v>28</v>
      </c>
      <c r="I157" t="s">
        <v>817</v>
      </c>
    </row>
    <row r="158" customHeight="1" spans="1:9">
      <c r="A158" t="s">
        <v>2265</v>
      </c>
      <c r="B158" t="s">
        <v>16</v>
      </c>
      <c r="C158" t="s">
        <v>2796</v>
      </c>
      <c r="D158" t="s">
        <v>2797</v>
      </c>
      <c r="E158" t="s">
        <v>2798</v>
      </c>
      <c r="F158" t="s">
        <v>2595</v>
      </c>
      <c r="G158" t="s">
        <v>28</v>
      </c>
      <c r="H158" t="s">
        <v>28</v>
      </c>
      <c r="I158" t="s">
        <v>817</v>
      </c>
    </row>
    <row r="159" customHeight="1" spans="1:9">
      <c r="A159" t="s">
        <v>2265</v>
      </c>
      <c r="B159" t="s">
        <v>16</v>
      </c>
      <c r="C159" t="s">
        <v>2799</v>
      </c>
      <c r="D159" t="s">
        <v>2800</v>
      </c>
      <c r="E159" t="s">
        <v>2801</v>
      </c>
      <c r="F159" t="s">
        <v>2273</v>
      </c>
      <c r="G159" t="s">
        <v>28</v>
      </c>
      <c r="H159" t="s">
        <v>28</v>
      </c>
      <c r="I159" t="s">
        <v>817</v>
      </c>
    </row>
    <row r="160" customHeight="1" spans="1:9">
      <c r="A160" t="s">
        <v>2265</v>
      </c>
      <c r="B160" t="s">
        <v>16</v>
      </c>
      <c r="C160" t="s">
        <v>2802</v>
      </c>
      <c r="D160" t="s">
        <v>2803</v>
      </c>
      <c r="E160" t="s">
        <v>2804</v>
      </c>
      <c r="F160" t="s">
        <v>2269</v>
      </c>
      <c r="G160" t="s">
        <v>28</v>
      </c>
      <c r="H160" t="s">
        <v>28</v>
      </c>
      <c r="I160" t="s">
        <v>817</v>
      </c>
    </row>
    <row r="161" customHeight="1" spans="1:9">
      <c r="A161" t="s">
        <v>2265</v>
      </c>
      <c r="B161" t="s">
        <v>16</v>
      </c>
      <c r="C161" t="s">
        <v>2805</v>
      </c>
      <c r="D161" t="s">
        <v>2806</v>
      </c>
      <c r="E161" t="s">
        <v>2807</v>
      </c>
      <c r="F161" t="s">
        <v>2340</v>
      </c>
      <c r="G161" t="s">
        <v>28</v>
      </c>
      <c r="H161" t="s">
        <v>28</v>
      </c>
      <c r="I161" t="s">
        <v>817</v>
      </c>
    </row>
    <row r="162" customHeight="1" spans="1:9">
      <c r="A162" t="s">
        <v>2265</v>
      </c>
      <c r="B162" t="s">
        <v>16</v>
      </c>
      <c r="C162" t="s">
        <v>2808</v>
      </c>
      <c r="D162" t="s">
        <v>2809</v>
      </c>
      <c r="E162" t="s">
        <v>2810</v>
      </c>
      <c r="F162" t="s">
        <v>53</v>
      </c>
      <c r="G162" t="s">
        <v>28</v>
      </c>
      <c r="H162" t="s">
        <v>28</v>
      </c>
      <c r="I162" t="s">
        <v>817</v>
      </c>
    </row>
    <row r="163" customHeight="1" spans="1:9">
      <c r="A163" t="s">
        <v>2265</v>
      </c>
      <c r="B163" t="s">
        <v>16</v>
      </c>
      <c r="C163" t="s">
        <v>2811</v>
      </c>
      <c r="D163" t="s">
        <v>2812</v>
      </c>
      <c r="E163" t="s">
        <v>2813</v>
      </c>
      <c r="F163" t="s">
        <v>53</v>
      </c>
      <c r="G163" t="s">
        <v>28</v>
      </c>
      <c r="H163" t="s">
        <v>28</v>
      </c>
      <c r="I163" t="s">
        <v>817</v>
      </c>
    </row>
    <row r="164" customHeight="1" spans="1:9">
      <c r="A164" t="s">
        <v>2265</v>
      </c>
      <c r="B164" t="s">
        <v>16</v>
      </c>
      <c r="C164" t="s">
        <v>2814</v>
      </c>
      <c r="D164" t="s">
        <v>2815</v>
      </c>
      <c r="E164" t="s">
        <v>2816</v>
      </c>
      <c r="F164" t="s">
        <v>2277</v>
      </c>
      <c r="G164" t="s">
        <v>28</v>
      </c>
      <c r="H164" t="s">
        <v>28</v>
      </c>
      <c r="I164" t="s">
        <v>817</v>
      </c>
    </row>
    <row r="165" customHeight="1" spans="1:9">
      <c r="A165" t="s">
        <v>2265</v>
      </c>
      <c r="B165" t="s">
        <v>16</v>
      </c>
      <c r="C165" t="s">
        <v>2817</v>
      </c>
      <c r="D165" t="s">
        <v>2818</v>
      </c>
      <c r="E165" t="s">
        <v>2819</v>
      </c>
      <c r="F165" t="s">
        <v>2662</v>
      </c>
      <c r="G165" t="s">
        <v>28</v>
      </c>
      <c r="H165" t="s">
        <v>28</v>
      </c>
      <c r="I165" t="s">
        <v>817</v>
      </c>
    </row>
    <row r="166" customHeight="1" spans="1:9">
      <c r="A166" t="s">
        <v>2265</v>
      </c>
      <c r="B166" t="s">
        <v>16</v>
      </c>
      <c r="C166" t="s">
        <v>2820</v>
      </c>
      <c r="D166" t="s">
        <v>2821</v>
      </c>
      <c r="E166" t="s">
        <v>2822</v>
      </c>
      <c r="F166" t="s">
        <v>2823</v>
      </c>
      <c r="G166" t="s">
        <v>28</v>
      </c>
      <c r="H166" t="s">
        <v>28</v>
      </c>
      <c r="I166" t="s">
        <v>817</v>
      </c>
    </row>
    <row r="167" customHeight="1" spans="1:9">
      <c r="A167" t="s">
        <v>2265</v>
      </c>
      <c r="B167" t="s">
        <v>16</v>
      </c>
      <c r="C167" t="s">
        <v>2824</v>
      </c>
      <c r="D167" t="s">
        <v>2825</v>
      </c>
      <c r="E167" t="s">
        <v>2826</v>
      </c>
      <c r="F167" t="s">
        <v>2340</v>
      </c>
      <c r="G167" t="s">
        <v>28</v>
      </c>
      <c r="H167" t="s">
        <v>28</v>
      </c>
      <c r="I167" t="s">
        <v>817</v>
      </c>
    </row>
    <row r="168" customHeight="1" spans="1:9">
      <c r="A168" t="s">
        <v>2265</v>
      </c>
      <c r="B168" t="s">
        <v>16</v>
      </c>
      <c r="C168" t="s">
        <v>2827</v>
      </c>
      <c r="D168" t="s">
        <v>2828</v>
      </c>
      <c r="E168" t="s">
        <v>2829</v>
      </c>
      <c r="F168" t="s">
        <v>2830</v>
      </c>
      <c r="G168" t="s">
        <v>28</v>
      </c>
      <c r="H168" t="s">
        <v>28</v>
      </c>
      <c r="I168" t="s">
        <v>817</v>
      </c>
    </row>
    <row r="169" customHeight="1" spans="1:9">
      <c r="A169" t="s">
        <v>2265</v>
      </c>
      <c r="B169" t="s">
        <v>16</v>
      </c>
      <c r="C169" t="s">
        <v>2831</v>
      </c>
      <c r="D169" t="s">
        <v>2828</v>
      </c>
      <c r="E169" t="s">
        <v>2832</v>
      </c>
      <c r="F169" t="s">
        <v>2833</v>
      </c>
      <c r="G169" t="s">
        <v>28</v>
      </c>
      <c r="H169" t="s">
        <v>28</v>
      </c>
      <c r="I169" t="s">
        <v>817</v>
      </c>
    </row>
    <row r="170" customHeight="1" spans="1:9">
      <c r="A170" t="s">
        <v>2265</v>
      </c>
      <c r="B170" t="s">
        <v>16</v>
      </c>
      <c r="C170" t="s">
        <v>2834</v>
      </c>
      <c r="D170" t="s">
        <v>2828</v>
      </c>
      <c r="E170" t="s">
        <v>2835</v>
      </c>
      <c r="F170" t="s">
        <v>2301</v>
      </c>
      <c r="G170" t="s">
        <v>28</v>
      </c>
      <c r="H170" t="s">
        <v>28</v>
      </c>
      <c r="I170" t="s">
        <v>817</v>
      </c>
    </row>
    <row r="171" customHeight="1" spans="1:9">
      <c r="A171" t="s">
        <v>2265</v>
      </c>
      <c r="B171" t="s">
        <v>16</v>
      </c>
      <c r="C171" t="s">
        <v>2836</v>
      </c>
      <c r="D171" t="s">
        <v>2837</v>
      </c>
      <c r="E171" t="s">
        <v>2838</v>
      </c>
      <c r="F171" t="s">
        <v>2269</v>
      </c>
      <c r="G171" t="s">
        <v>28</v>
      </c>
      <c r="H171" t="s">
        <v>28</v>
      </c>
      <c r="I171" t="s">
        <v>817</v>
      </c>
    </row>
    <row r="172" customHeight="1" spans="1:9">
      <c r="A172" t="s">
        <v>2265</v>
      </c>
      <c r="B172" t="s">
        <v>16</v>
      </c>
      <c r="C172" t="s">
        <v>2839</v>
      </c>
      <c r="D172" t="s">
        <v>2840</v>
      </c>
      <c r="E172" t="s">
        <v>2841</v>
      </c>
      <c r="F172" t="s">
        <v>2842</v>
      </c>
      <c r="G172" t="s">
        <v>28</v>
      </c>
      <c r="H172" t="s">
        <v>28</v>
      </c>
      <c r="I172" t="s">
        <v>817</v>
      </c>
    </row>
    <row r="173" customHeight="1" spans="1:9">
      <c r="A173" t="s">
        <v>2265</v>
      </c>
      <c r="B173" t="s">
        <v>16</v>
      </c>
      <c r="C173" t="s">
        <v>2843</v>
      </c>
      <c r="D173" t="s">
        <v>2844</v>
      </c>
      <c r="E173" t="s">
        <v>2845</v>
      </c>
      <c r="F173" t="s">
        <v>2689</v>
      </c>
      <c r="G173" t="s">
        <v>28</v>
      </c>
      <c r="H173" t="s">
        <v>28</v>
      </c>
      <c r="I173" t="s">
        <v>817</v>
      </c>
    </row>
    <row r="174" customHeight="1" spans="1:9">
      <c r="A174" t="s">
        <v>2265</v>
      </c>
      <c r="B174" t="s">
        <v>16</v>
      </c>
      <c r="C174" t="s">
        <v>2846</v>
      </c>
      <c r="D174" t="s">
        <v>2847</v>
      </c>
      <c r="E174" t="s">
        <v>2848</v>
      </c>
      <c r="F174" t="s">
        <v>2340</v>
      </c>
      <c r="G174" t="s">
        <v>28</v>
      </c>
      <c r="H174" t="s">
        <v>28</v>
      </c>
      <c r="I174" t="s">
        <v>817</v>
      </c>
    </row>
    <row r="175" customHeight="1" spans="1:9">
      <c r="A175" t="s">
        <v>2265</v>
      </c>
      <c r="B175" t="s">
        <v>16</v>
      </c>
      <c r="C175" t="s">
        <v>2849</v>
      </c>
      <c r="D175" t="s">
        <v>2850</v>
      </c>
      <c r="E175" t="s">
        <v>2851</v>
      </c>
      <c r="F175" t="s">
        <v>2689</v>
      </c>
      <c r="G175" t="s">
        <v>28</v>
      </c>
      <c r="H175" t="s">
        <v>28</v>
      </c>
      <c r="I175" t="s">
        <v>817</v>
      </c>
    </row>
    <row r="176" customHeight="1" spans="1:9">
      <c r="A176" t="s">
        <v>2265</v>
      </c>
      <c r="B176" t="s">
        <v>16</v>
      </c>
      <c r="C176" t="s">
        <v>2852</v>
      </c>
      <c r="D176" t="s">
        <v>2853</v>
      </c>
      <c r="E176" t="s">
        <v>2854</v>
      </c>
      <c r="F176" t="s">
        <v>2301</v>
      </c>
      <c r="G176" t="s">
        <v>28</v>
      </c>
      <c r="H176" t="s">
        <v>28</v>
      </c>
      <c r="I176" t="s">
        <v>817</v>
      </c>
    </row>
    <row r="177" customHeight="1" spans="1:9">
      <c r="A177" t="s">
        <v>2265</v>
      </c>
      <c r="B177" t="s">
        <v>16</v>
      </c>
      <c r="C177" t="s">
        <v>2855</v>
      </c>
      <c r="D177" t="s">
        <v>2856</v>
      </c>
      <c r="E177" t="s">
        <v>2857</v>
      </c>
      <c r="F177" t="s">
        <v>2288</v>
      </c>
      <c r="G177" t="s">
        <v>28</v>
      </c>
      <c r="H177" t="s">
        <v>28</v>
      </c>
      <c r="I177" t="s">
        <v>817</v>
      </c>
    </row>
    <row r="178" customHeight="1" spans="1:9">
      <c r="A178" t="s">
        <v>2265</v>
      </c>
      <c r="B178" t="s">
        <v>16</v>
      </c>
      <c r="C178" t="s">
        <v>2858</v>
      </c>
      <c r="D178" t="s">
        <v>2859</v>
      </c>
      <c r="E178" t="s">
        <v>2860</v>
      </c>
      <c r="F178" t="s">
        <v>2301</v>
      </c>
      <c r="G178" t="s">
        <v>28</v>
      </c>
      <c r="H178" t="s">
        <v>28</v>
      </c>
      <c r="I178" t="s">
        <v>817</v>
      </c>
    </row>
    <row r="179" customHeight="1" spans="1:9">
      <c r="A179" t="s">
        <v>2265</v>
      </c>
      <c r="B179" t="s">
        <v>16</v>
      </c>
      <c r="C179" t="s">
        <v>2861</v>
      </c>
      <c r="D179" t="s">
        <v>2862</v>
      </c>
      <c r="E179" t="s">
        <v>2863</v>
      </c>
      <c r="F179" t="s">
        <v>2269</v>
      </c>
      <c r="G179" t="s">
        <v>28</v>
      </c>
      <c r="H179" t="s">
        <v>28</v>
      </c>
      <c r="I179" t="s">
        <v>817</v>
      </c>
    </row>
    <row r="180" customHeight="1" spans="1:9">
      <c r="A180" t="s">
        <v>2265</v>
      </c>
      <c r="B180" t="s">
        <v>16</v>
      </c>
      <c r="C180" t="s">
        <v>2864</v>
      </c>
      <c r="D180" t="s">
        <v>2865</v>
      </c>
      <c r="E180" t="s">
        <v>2866</v>
      </c>
      <c r="F180" t="s">
        <v>2662</v>
      </c>
      <c r="G180" t="s">
        <v>28</v>
      </c>
      <c r="H180" t="s">
        <v>28</v>
      </c>
      <c r="I180" t="s">
        <v>817</v>
      </c>
    </row>
    <row r="181" customHeight="1" spans="1:9">
      <c r="A181" t="s">
        <v>2265</v>
      </c>
      <c r="B181" t="s">
        <v>16</v>
      </c>
      <c r="C181" t="s">
        <v>2867</v>
      </c>
      <c r="D181" t="s">
        <v>2868</v>
      </c>
      <c r="E181" t="s">
        <v>2869</v>
      </c>
      <c r="F181" t="s">
        <v>2340</v>
      </c>
      <c r="G181" t="s">
        <v>28</v>
      </c>
      <c r="H181" t="s">
        <v>28</v>
      </c>
      <c r="I181" t="s">
        <v>817</v>
      </c>
    </row>
    <row r="182" customHeight="1" spans="1:9">
      <c r="A182" t="s">
        <v>2265</v>
      </c>
      <c r="B182" t="s">
        <v>16</v>
      </c>
      <c r="C182" t="s">
        <v>2870</v>
      </c>
      <c r="D182" t="s">
        <v>2871</v>
      </c>
      <c r="E182" t="s">
        <v>2872</v>
      </c>
      <c r="F182" t="s">
        <v>2269</v>
      </c>
      <c r="G182" t="s">
        <v>28</v>
      </c>
      <c r="H182" t="s">
        <v>28</v>
      </c>
      <c r="I182" t="s">
        <v>817</v>
      </c>
    </row>
    <row r="183" customHeight="1" spans="1:9">
      <c r="A183" t="s">
        <v>2265</v>
      </c>
      <c r="B183" t="s">
        <v>16</v>
      </c>
      <c r="C183" t="s">
        <v>2873</v>
      </c>
      <c r="D183" t="s">
        <v>2874</v>
      </c>
      <c r="E183" t="s">
        <v>2875</v>
      </c>
      <c r="F183" t="s">
        <v>2321</v>
      </c>
      <c r="G183" t="s">
        <v>28</v>
      </c>
      <c r="H183" t="s">
        <v>28</v>
      </c>
      <c r="I183" t="s">
        <v>817</v>
      </c>
    </row>
    <row r="184" customHeight="1" spans="1:9">
      <c r="A184" t="s">
        <v>2265</v>
      </c>
      <c r="B184" t="s">
        <v>16</v>
      </c>
      <c r="C184" t="s">
        <v>2876</v>
      </c>
      <c r="D184" t="s">
        <v>2877</v>
      </c>
      <c r="E184" t="s">
        <v>2878</v>
      </c>
      <c r="F184" t="s">
        <v>2301</v>
      </c>
      <c r="G184" t="s">
        <v>28</v>
      </c>
      <c r="H184" t="s">
        <v>28</v>
      </c>
      <c r="I184" t="s">
        <v>817</v>
      </c>
    </row>
    <row r="185" customHeight="1" spans="1:9">
      <c r="A185" t="s">
        <v>2265</v>
      </c>
      <c r="B185" t="s">
        <v>16</v>
      </c>
      <c r="C185" t="s">
        <v>2879</v>
      </c>
      <c r="D185" t="s">
        <v>2880</v>
      </c>
      <c r="E185" t="s">
        <v>2881</v>
      </c>
      <c r="F185" t="s">
        <v>2376</v>
      </c>
      <c r="G185" t="s">
        <v>28</v>
      </c>
      <c r="H185" t="s">
        <v>28</v>
      </c>
      <c r="I185" t="s">
        <v>817</v>
      </c>
    </row>
    <row r="186" customHeight="1" spans="1:9">
      <c r="A186" t="s">
        <v>2265</v>
      </c>
      <c r="B186" t="s">
        <v>16</v>
      </c>
      <c r="C186" t="s">
        <v>2882</v>
      </c>
      <c r="D186" t="s">
        <v>2883</v>
      </c>
      <c r="E186" t="s">
        <v>2884</v>
      </c>
      <c r="F186" t="s">
        <v>2325</v>
      </c>
      <c r="G186" t="s">
        <v>28</v>
      </c>
      <c r="H186" t="s">
        <v>28</v>
      </c>
      <c r="I186" t="s">
        <v>817</v>
      </c>
    </row>
    <row r="187" customHeight="1" spans="1:9">
      <c r="A187" t="s">
        <v>2265</v>
      </c>
      <c r="B187" t="s">
        <v>16</v>
      </c>
      <c r="C187" t="s">
        <v>2885</v>
      </c>
      <c r="D187" t="s">
        <v>2886</v>
      </c>
      <c r="E187" t="s">
        <v>2887</v>
      </c>
      <c r="F187" t="s">
        <v>2336</v>
      </c>
      <c r="G187" t="s">
        <v>28</v>
      </c>
      <c r="H187" t="s">
        <v>28</v>
      </c>
      <c r="I187" t="s">
        <v>817</v>
      </c>
    </row>
    <row r="188" customHeight="1" spans="1:9">
      <c r="A188" t="s">
        <v>2265</v>
      </c>
      <c r="B188" t="s">
        <v>16</v>
      </c>
      <c r="C188" t="s">
        <v>2888</v>
      </c>
      <c r="D188" t="s">
        <v>2889</v>
      </c>
      <c r="E188" t="s">
        <v>2890</v>
      </c>
      <c r="F188" t="s">
        <v>2292</v>
      </c>
      <c r="G188" t="s">
        <v>28</v>
      </c>
      <c r="H188" t="s">
        <v>28</v>
      </c>
      <c r="I188" t="s">
        <v>817</v>
      </c>
    </row>
    <row r="189" customHeight="1" spans="1:9">
      <c r="A189" t="s">
        <v>2265</v>
      </c>
      <c r="B189" t="s">
        <v>16</v>
      </c>
      <c r="C189" t="s">
        <v>2891</v>
      </c>
      <c r="D189" t="s">
        <v>2892</v>
      </c>
      <c r="E189" t="s">
        <v>2893</v>
      </c>
      <c r="F189" t="s">
        <v>2613</v>
      </c>
      <c r="G189" t="s">
        <v>28</v>
      </c>
      <c r="H189" t="s">
        <v>28</v>
      </c>
      <c r="I189" t="s">
        <v>817</v>
      </c>
    </row>
    <row r="190" customHeight="1" spans="1:9">
      <c r="A190" t="s">
        <v>2265</v>
      </c>
      <c r="B190" t="s">
        <v>16</v>
      </c>
      <c r="C190" t="s">
        <v>2894</v>
      </c>
      <c r="D190" t="s">
        <v>2895</v>
      </c>
      <c r="E190" t="s">
        <v>2896</v>
      </c>
      <c r="F190" t="s">
        <v>2830</v>
      </c>
      <c r="G190" t="s">
        <v>28</v>
      </c>
      <c r="H190" t="s">
        <v>28</v>
      </c>
      <c r="I190" t="s">
        <v>817</v>
      </c>
    </row>
    <row r="191" customHeight="1" spans="1:9">
      <c r="A191" t="s">
        <v>2265</v>
      </c>
      <c r="B191" t="s">
        <v>16</v>
      </c>
      <c r="C191" t="s">
        <v>2897</v>
      </c>
      <c r="D191" t="s">
        <v>2898</v>
      </c>
      <c r="E191" t="s">
        <v>2899</v>
      </c>
      <c r="F191" t="s">
        <v>2689</v>
      </c>
      <c r="G191" t="s">
        <v>28</v>
      </c>
      <c r="H191" t="s">
        <v>28</v>
      </c>
      <c r="I191" t="s">
        <v>817</v>
      </c>
    </row>
    <row r="192" customHeight="1" spans="1:9">
      <c r="A192" t="s">
        <v>2265</v>
      </c>
      <c r="B192" t="s">
        <v>16</v>
      </c>
      <c r="C192" t="s">
        <v>2900</v>
      </c>
      <c r="D192" t="s">
        <v>2901</v>
      </c>
      <c r="E192" t="s">
        <v>2902</v>
      </c>
      <c r="F192" t="s">
        <v>2325</v>
      </c>
      <c r="G192" t="s">
        <v>28</v>
      </c>
      <c r="H192" t="s">
        <v>28</v>
      </c>
      <c r="I192" t="s">
        <v>817</v>
      </c>
    </row>
    <row r="193" customHeight="1" spans="1:9">
      <c r="A193" t="s">
        <v>2265</v>
      </c>
      <c r="B193" t="s">
        <v>16</v>
      </c>
      <c r="C193" t="s">
        <v>2903</v>
      </c>
      <c r="D193" t="s">
        <v>2904</v>
      </c>
      <c r="E193" t="s">
        <v>2905</v>
      </c>
      <c r="F193" t="s">
        <v>2906</v>
      </c>
      <c r="G193" t="s">
        <v>28</v>
      </c>
      <c r="H193" t="s">
        <v>28</v>
      </c>
      <c r="I193" t="s">
        <v>817</v>
      </c>
    </row>
    <row r="194" customHeight="1" spans="1:9">
      <c r="A194" t="s">
        <v>2265</v>
      </c>
      <c r="B194" t="s">
        <v>16</v>
      </c>
      <c r="C194" t="s">
        <v>2907</v>
      </c>
      <c r="D194" t="s">
        <v>2908</v>
      </c>
      <c r="E194" t="s">
        <v>2909</v>
      </c>
      <c r="F194" t="s">
        <v>2428</v>
      </c>
      <c r="G194" t="s">
        <v>28</v>
      </c>
      <c r="H194" t="s">
        <v>28</v>
      </c>
      <c r="I194" t="s">
        <v>817</v>
      </c>
    </row>
    <row r="195" customHeight="1" spans="1:9">
      <c r="A195" t="s">
        <v>2265</v>
      </c>
      <c r="B195" t="s">
        <v>16</v>
      </c>
      <c r="C195" t="s">
        <v>2910</v>
      </c>
      <c r="D195" t="s">
        <v>2908</v>
      </c>
      <c r="E195" t="s">
        <v>2909</v>
      </c>
      <c r="F195" t="s">
        <v>2284</v>
      </c>
      <c r="G195" t="s">
        <v>28</v>
      </c>
      <c r="H195" t="s">
        <v>28</v>
      </c>
      <c r="I195" t="s">
        <v>817</v>
      </c>
    </row>
    <row r="196" customHeight="1" spans="1:9">
      <c r="A196" t="s">
        <v>2265</v>
      </c>
      <c r="B196" t="s">
        <v>16</v>
      </c>
      <c r="C196" t="s">
        <v>2911</v>
      </c>
      <c r="D196" t="s">
        <v>2912</v>
      </c>
      <c r="E196" t="s">
        <v>2913</v>
      </c>
      <c r="F196" t="s">
        <v>2284</v>
      </c>
      <c r="G196" t="s">
        <v>28</v>
      </c>
      <c r="H196" t="s">
        <v>28</v>
      </c>
      <c r="I196" t="s">
        <v>817</v>
      </c>
    </row>
    <row r="197" customHeight="1" spans="1:9">
      <c r="A197" t="s">
        <v>2265</v>
      </c>
      <c r="B197" t="s">
        <v>16</v>
      </c>
      <c r="C197" t="s">
        <v>2914</v>
      </c>
      <c r="D197" t="s">
        <v>2915</v>
      </c>
      <c r="E197" t="s">
        <v>2444</v>
      </c>
      <c r="F197" t="s">
        <v>2916</v>
      </c>
      <c r="G197" t="s">
        <v>28</v>
      </c>
      <c r="H197" t="s">
        <v>28</v>
      </c>
      <c r="I197" t="s">
        <v>817</v>
      </c>
    </row>
    <row r="198" customHeight="1" spans="1:9">
      <c r="A198" t="s">
        <v>2265</v>
      </c>
      <c r="B198" t="s">
        <v>16</v>
      </c>
      <c r="C198" t="s">
        <v>2917</v>
      </c>
      <c r="D198" t="s">
        <v>2918</v>
      </c>
      <c r="E198" t="s">
        <v>2919</v>
      </c>
      <c r="F198" t="s">
        <v>2325</v>
      </c>
      <c r="G198" t="s">
        <v>28</v>
      </c>
      <c r="H198" t="s">
        <v>28</v>
      </c>
      <c r="I198" t="s">
        <v>817</v>
      </c>
    </row>
    <row r="199" customHeight="1" spans="1:9">
      <c r="A199" t="s">
        <v>2265</v>
      </c>
      <c r="B199" t="s">
        <v>16</v>
      </c>
      <c r="C199" t="s">
        <v>2920</v>
      </c>
      <c r="D199" t="s">
        <v>2921</v>
      </c>
      <c r="E199" t="s">
        <v>2922</v>
      </c>
      <c r="F199" t="s">
        <v>2923</v>
      </c>
      <c r="G199" t="s">
        <v>28</v>
      </c>
      <c r="H199" t="s">
        <v>28</v>
      </c>
      <c r="I199" t="s">
        <v>817</v>
      </c>
    </row>
    <row r="200" customHeight="1" spans="1:9">
      <c r="A200" t="s">
        <v>2265</v>
      </c>
      <c r="B200" t="s">
        <v>16</v>
      </c>
      <c r="C200" t="s">
        <v>2924</v>
      </c>
      <c r="D200" t="s">
        <v>2925</v>
      </c>
      <c r="E200" t="s">
        <v>2926</v>
      </c>
      <c r="F200" t="s">
        <v>2269</v>
      </c>
      <c r="G200" t="s">
        <v>28</v>
      </c>
      <c r="H200" t="s">
        <v>28</v>
      </c>
      <c r="I200" t="s">
        <v>817</v>
      </c>
    </row>
    <row r="201" customHeight="1" spans="1:9">
      <c r="A201" t="s">
        <v>2265</v>
      </c>
      <c r="B201" t="s">
        <v>16</v>
      </c>
      <c r="C201" t="s">
        <v>2927</v>
      </c>
      <c r="D201" t="s">
        <v>2928</v>
      </c>
      <c r="E201" t="s">
        <v>2929</v>
      </c>
      <c r="F201" t="s">
        <v>2269</v>
      </c>
      <c r="G201" t="s">
        <v>28</v>
      </c>
      <c r="H201" t="s">
        <v>28</v>
      </c>
      <c r="I201" t="s">
        <v>817</v>
      </c>
    </row>
    <row r="202" customHeight="1" spans="1:9">
      <c r="A202" t="s">
        <v>2265</v>
      </c>
      <c r="B202" t="s">
        <v>16</v>
      </c>
      <c r="C202" t="s">
        <v>2930</v>
      </c>
      <c r="D202" t="s">
        <v>2931</v>
      </c>
      <c r="E202" t="s">
        <v>2932</v>
      </c>
      <c r="F202" t="s">
        <v>2340</v>
      </c>
      <c r="G202" t="s">
        <v>28</v>
      </c>
      <c r="H202" t="s">
        <v>28</v>
      </c>
      <c r="I202" t="s">
        <v>817</v>
      </c>
    </row>
    <row r="203" customHeight="1" spans="1:9">
      <c r="A203" t="s">
        <v>2265</v>
      </c>
      <c r="B203" t="s">
        <v>16</v>
      </c>
      <c r="C203" t="s">
        <v>2933</v>
      </c>
      <c r="D203" t="s">
        <v>2934</v>
      </c>
      <c r="E203" t="s">
        <v>2935</v>
      </c>
      <c r="F203" t="s">
        <v>2936</v>
      </c>
      <c r="G203" t="s">
        <v>28</v>
      </c>
      <c r="H203" t="s">
        <v>28</v>
      </c>
      <c r="I203" t="s">
        <v>817</v>
      </c>
    </row>
    <row r="204" customHeight="1" spans="1:9">
      <c r="A204" t="s">
        <v>2265</v>
      </c>
      <c r="B204" t="s">
        <v>16</v>
      </c>
      <c r="C204" t="s">
        <v>2937</v>
      </c>
      <c r="D204" t="s">
        <v>2938</v>
      </c>
      <c r="E204" t="s">
        <v>2939</v>
      </c>
      <c r="F204" t="s">
        <v>2269</v>
      </c>
      <c r="G204" t="s">
        <v>28</v>
      </c>
      <c r="H204" t="s">
        <v>28</v>
      </c>
      <c r="I204" t="s">
        <v>817</v>
      </c>
    </row>
    <row r="205" customHeight="1" spans="1:9">
      <c r="A205" t="s">
        <v>2265</v>
      </c>
      <c r="B205" t="s">
        <v>16</v>
      </c>
      <c r="C205" t="s">
        <v>2940</v>
      </c>
      <c r="D205" t="s">
        <v>2941</v>
      </c>
      <c r="E205" t="s">
        <v>2942</v>
      </c>
      <c r="F205" t="s">
        <v>2332</v>
      </c>
      <c r="G205" t="s">
        <v>28</v>
      </c>
      <c r="H205" t="s">
        <v>28</v>
      </c>
      <c r="I205" t="s">
        <v>817</v>
      </c>
    </row>
    <row r="206" customHeight="1" spans="1:9">
      <c r="A206" t="s">
        <v>2265</v>
      </c>
      <c r="B206" t="s">
        <v>16</v>
      </c>
      <c r="C206" t="s">
        <v>2943</v>
      </c>
      <c r="D206" t="s">
        <v>2944</v>
      </c>
      <c r="E206" t="s">
        <v>2945</v>
      </c>
      <c r="F206" t="s">
        <v>2946</v>
      </c>
      <c r="G206" t="s">
        <v>28</v>
      </c>
      <c r="H206" t="s">
        <v>28</v>
      </c>
      <c r="I206" t="s">
        <v>817</v>
      </c>
    </row>
    <row r="207" customHeight="1" spans="1:9">
      <c r="A207" t="s">
        <v>2265</v>
      </c>
      <c r="B207" t="s">
        <v>16</v>
      </c>
      <c r="C207" t="s">
        <v>2947</v>
      </c>
      <c r="D207" t="s">
        <v>2948</v>
      </c>
      <c r="E207" t="s">
        <v>2949</v>
      </c>
      <c r="F207" t="s">
        <v>2950</v>
      </c>
      <c r="G207" t="s">
        <v>28</v>
      </c>
      <c r="H207" t="s">
        <v>28</v>
      </c>
      <c r="I207" t="s">
        <v>817</v>
      </c>
    </row>
    <row r="208" customHeight="1" spans="1:9">
      <c r="A208" t="s">
        <v>2265</v>
      </c>
      <c r="B208" t="s">
        <v>16</v>
      </c>
      <c r="C208" t="s">
        <v>2951</v>
      </c>
      <c r="D208" t="s">
        <v>2952</v>
      </c>
      <c r="E208" t="s">
        <v>2953</v>
      </c>
      <c r="F208" t="s">
        <v>2954</v>
      </c>
      <c r="G208" t="s">
        <v>28</v>
      </c>
      <c r="H208" t="s">
        <v>28</v>
      </c>
      <c r="I208" t="s">
        <v>817</v>
      </c>
    </row>
    <row r="209" customHeight="1" spans="1:9">
      <c r="A209" t="s">
        <v>2265</v>
      </c>
      <c r="B209" t="s">
        <v>16</v>
      </c>
      <c r="C209" t="s">
        <v>2955</v>
      </c>
      <c r="D209" t="s">
        <v>2956</v>
      </c>
      <c r="E209" t="s">
        <v>2935</v>
      </c>
      <c r="F209" t="s">
        <v>2957</v>
      </c>
      <c r="G209" t="s">
        <v>28</v>
      </c>
      <c r="H209" t="s">
        <v>28</v>
      </c>
      <c r="I209" t="s">
        <v>817</v>
      </c>
    </row>
    <row r="210" customHeight="1" spans="1:9">
      <c r="A210" t="s">
        <v>2265</v>
      </c>
      <c r="B210" t="s">
        <v>16</v>
      </c>
      <c r="C210" t="s">
        <v>2958</v>
      </c>
      <c r="D210" t="s">
        <v>2959</v>
      </c>
      <c r="E210" t="s">
        <v>2960</v>
      </c>
      <c r="F210" t="s">
        <v>2961</v>
      </c>
      <c r="G210" t="s">
        <v>28</v>
      </c>
      <c r="H210" t="s">
        <v>28</v>
      </c>
      <c r="I210" t="s">
        <v>817</v>
      </c>
    </row>
    <row r="211" customHeight="1" spans="1:9">
      <c r="A211" t="s">
        <v>2265</v>
      </c>
      <c r="B211" t="s">
        <v>16</v>
      </c>
      <c r="C211" t="s">
        <v>2270</v>
      </c>
      <c r="D211" t="s">
        <v>2271</v>
      </c>
      <c r="E211" t="s">
        <v>2272</v>
      </c>
      <c r="F211" t="s">
        <v>2273</v>
      </c>
      <c r="G211" t="s">
        <v>28</v>
      </c>
      <c r="H211" t="s">
        <v>28</v>
      </c>
      <c r="I211" t="s">
        <v>903</v>
      </c>
    </row>
    <row r="212" customHeight="1" spans="1:9">
      <c r="A212" t="s">
        <v>2265</v>
      </c>
      <c r="B212" t="s">
        <v>16</v>
      </c>
      <c r="C212" t="s">
        <v>2274</v>
      </c>
      <c r="D212" t="s">
        <v>2275</v>
      </c>
      <c r="E212" t="s">
        <v>2276</v>
      </c>
      <c r="F212" t="s">
        <v>2277</v>
      </c>
      <c r="G212" t="s">
        <v>28</v>
      </c>
      <c r="H212" t="s">
        <v>28</v>
      </c>
      <c r="I212" t="s">
        <v>903</v>
      </c>
    </row>
    <row r="213" customHeight="1" spans="1:9">
      <c r="A213" t="s">
        <v>2265</v>
      </c>
      <c r="B213" t="s">
        <v>16</v>
      </c>
      <c r="C213" t="s">
        <v>2289</v>
      </c>
      <c r="D213" t="s">
        <v>2290</v>
      </c>
      <c r="E213" t="s">
        <v>2291</v>
      </c>
      <c r="F213" t="s">
        <v>2292</v>
      </c>
      <c r="G213" t="s">
        <v>2293</v>
      </c>
      <c r="H213" t="s">
        <v>28</v>
      </c>
      <c r="I213" t="s">
        <v>903</v>
      </c>
    </row>
    <row r="214" customHeight="1" spans="1:9">
      <c r="A214" t="s">
        <v>2265</v>
      </c>
      <c r="B214" t="s">
        <v>16</v>
      </c>
      <c r="C214" t="s">
        <v>2294</v>
      </c>
      <c r="D214" t="s">
        <v>2295</v>
      </c>
      <c r="E214" t="s">
        <v>2296</v>
      </c>
      <c r="F214" t="s">
        <v>2297</v>
      </c>
      <c r="G214" t="s">
        <v>28</v>
      </c>
      <c r="H214" t="s">
        <v>28</v>
      </c>
      <c r="I214" t="s">
        <v>903</v>
      </c>
    </row>
    <row r="215" customHeight="1" spans="1:9">
      <c r="A215" t="s">
        <v>2265</v>
      </c>
      <c r="B215" t="s">
        <v>16</v>
      </c>
      <c r="C215" t="s">
        <v>2298</v>
      </c>
      <c r="D215" t="s">
        <v>2299</v>
      </c>
      <c r="E215" t="s">
        <v>2300</v>
      </c>
      <c r="F215" t="s">
        <v>2301</v>
      </c>
      <c r="G215" t="s">
        <v>28</v>
      </c>
      <c r="H215" t="s">
        <v>28</v>
      </c>
      <c r="I215" t="s">
        <v>903</v>
      </c>
    </row>
    <row r="216" customHeight="1" spans="1:9">
      <c r="A216" t="s">
        <v>2265</v>
      </c>
      <c r="B216" t="s">
        <v>16</v>
      </c>
      <c r="C216" t="s">
        <v>2302</v>
      </c>
      <c r="D216" t="s">
        <v>2303</v>
      </c>
      <c r="E216" t="s">
        <v>2304</v>
      </c>
      <c r="F216" t="s">
        <v>2305</v>
      </c>
      <c r="G216" t="s">
        <v>28</v>
      </c>
      <c r="H216" t="s">
        <v>28</v>
      </c>
      <c r="I216" t="s">
        <v>903</v>
      </c>
    </row>
    <row r="217" customHeight="1" spans="1:9">
      <c r="A217" t="s">
        <v>2265</v>
      </c>
      <c r="B217" t="s">
        <v>16</v>
      </c>
      <c r="C217" t="s">
        <v>2306</v>
      </c>
      <c r="D217" t="s">
        <v>2307</v>
      </c>
      <c r="E217" t="s">
        <v>2308</v>
      </c>
      <c r="F217" t="s">
        <v>2309</v>
      </c>
      <c r="G217" t="s">
        <v>28</v>
      </c>
      <c r="H217" t="s">
        <v>28</v>
      </c>
      <c r="I217" t="s">
        <v>903</v>
      </c>
    </row>
    <row r="218" customHeight="1" spans="1:9">
      <c r="A218" t="s">
        <v>2265</v>
      </c>
      <c r="B218" t="s">
        <v>16</v>
      </c>
      <c r="C218" t="s">
        <v>2310</v>
      </c>
      <c r="D218" t="s">
        <v>2307</v>
      </c>
      <c r="E218" t="s">
        <v>2308</v>
      </c>
      <c r="F218" t="s">
        <v>2311</v>
      </c>
      <c r="G218" t="s">
        <v>2312</v>
      </c>
      <c r="H218" t="s">
        <v>28</v>
      </c>
      <c r="I218" t="s">
        <v>903</v>
      </c>
    </row>
    <row r="219" customHeight="1" spans="1:9">
      <c r="A219" t="s">
        <v>2265</v>
      </c>
      <c r="B219" t="s">
        <v>16</v>
      </c>
      <c r="C219" t="s">
        <v>2313</v>
      </c>
      <c r="D219" t="s">
        <v>2307</v>
      </c>
      <c r="E219" t="s">
        <v>2308</v>
      </c>
      <c r="F219" t="s">
        <v>2314</v>
      </c>
      <c r="G219" t="s">
        <v>28</v>
      </c>
      <c r="H219" t="s">
        <v>28</v>
      </c>
      <c r="I219" t="s">
        <v>903</v>
      </c>
    </row>
    <row r="220" customHeight="1" spans="1:9">
      <c r="A220" t="s">
        <v>2265</v>
      </c>
      <c r="B220" t="s">
        <v>16</v>
      </c>
      <c r="C220" t="s">
        <v>2315</v>
      </c>
      <c r="D220" t="s">
        <v>2316</v>
      </c>
      <c r="E220" t="s">
        <v>2317</v>
      </c>
      <c r="F220" t="s">
        <v>53</v>
      </c>
      <c r="G220" t="s">
        <v>28</v>
      </c>
      <c r="H220" t="s">
        <v>28</v>
      </c>
      <c r="I220" t="s">
        <v>903</v>
      </c>
    </row>
    <row r="221" customHeight="1" spans="1:9">
      <c r="A221" t="s">
        <v>2265</v>
      </c>
      <c r="B221" t="s">
        <v>16</v>
      </c>
      <c r="C221" t="s">
        <v>2322</v>
      </c>
      <c r="D221" t="s">
        <v>2323</v>
      </c>
      <c r="E221" t="s">
        <v>2324</v>
      </c>
      <c r="F221" t="s">
        <v>2325</v>
      </c>
      <c r="G221" t="s">
        <v>28</v>
      </c>
      <c r="H221" t="s">
        <v>28</v>
      </c>
      <c r="I221" t="s">
        <v>903</v>
      </c>
    </row>
    <row r="222" customHeight="1" spans="1:9">
      <c r="A222" t="s">
        <v>2265</v>
      </c>
      <c r="B222" t="s">
        <v>16</v>
      </c>
      <c r="C222" t="s">
        <v>2326</v>
      </c>
      <c r="D222" t="s">
        <v>2327</v>
      </c>
      <c r="E222" t="s">
        <v>2328</v>
      </c>
      <c r="F222" t="s">
        <v>2325</v>
      </c>
      <c r="G222" t="s">
        <v>28</v>
      </c>
      <c r="H222" t="s">
        <v>28</v>
      </c>
      <c r="I222" t="s">
        <v>903</v>
      </c>
    </row>
    <row r="223" customHeight="1" spans="1:9">
      <c r="A223" t="s">
        <v>2265</v>
      </c>
      <c r="B223" t="s">
        <v>16</v>
      </c>
      <c r="C223" t="s">
        <v>2348</v>
      </c>
      <c r="D223" t="s">
        <v>2349</v>
      </c>
      <c r="E223" t="s">
        <v>2350</v>
      </c>
      <c r="F223" t="s">
        <v>2351</v>
      </c>
      <c r="G223" t="s">
        <v>28</v>
      </c>
      <c r="H223" t="s">
        <v>28</v>
      </c>
      <c r="I223" t="s">
        <v>903</v>
      </c>
    </row>
    <row r="224" customHeight="1" spans="1:9">
      <c r="A224" t="s">
        <v>2265</v>
      </c>
      <c r="B224" t="s">
        <v>16</v>
      </c>
      <c r="C224" t="s">
        <v>2370</v>
      </c>
      <c r="D224" t="s">
        <v>2371</v>
      </c>
      <c r="E224" t="s">
        <v>2372</v>
      </c>
      <c r="F224" t="s">
        <v>2340</v>
      </c>
      <c r="G224" t="s">
        <v>28</v>
      </c>
      <c r="H224" t="s">
        <v>28</v>
      </c>
      <c r="I224" t="s">
        <v>903</v>
      </c>
    </row>
    <row r="225" customHeight="1" spans="1:9">
      <c r="A225" t="s">
        <v>2265</v>
      </c>
      <c r="B225" t="s">
        <v>16</v>
      </c>
      <c r="C225" t="s">
        <v>13</v>
      </c>
      <c r="D225" t="s">
        <v>48</v>
      </c>
      <c r="E225" t="s">
        <v>51</v>
      </c>
      <c r="F225" t="s">
        <v>53</v>
      </c>
      <c r="G225" t="s">
        <v>28</v>
      </c>
      <c r="H225" t="s">
        <v>28</v>
      </c>
      <c r="I225" t="s">
        <v>903</v>
      </c>
    </row>
    <row r="226" customHeight="1" spans="1:9">
      <c r="A226" t="s">
        <v>2265</v>
      </c>
      <c r="B226" t="s">
        <v>16</v>
      </c>
      <c r="C226" t="s">
        <v>2389</v>
      </c>
      <c r="D226" t="s">
        <v>2390</v>
      </c>
      <c r="E226" t="s">
        <v>2391</v>
      </c>
      <c r="F226" t="s">
        <v>2392</v>
      </c>
      <c r="G226" t="s">
        <v>28</v>
      </c>
      <c r="H226" t="s">
        <v>28</v>
      </c>
      <c r="I226" t="s">
        <v>903</v>
      </c>
    </row>
    <row r="227" customHeight="1" spans="1:9">
      <c r="A227" t="s">
        <v>2265</v>
      </c>
      <c r="B227" t="s">
        <v>16</v>
      </c>
      <c r="C227" t="s">
        <v>2411</v>
      </c>
      <c r="D227" t="s">
        <v>2412</v>
      </c>
      <c r="E227" t="s">
        <v>2413</v>
      </c>
      <c r="F227" t="s">
        <v>2269</v>
      </c>
      <c r="G227" t="s">
        <v>2414</v>
      </c>
      <c r="H227" t="s">
        <v>28</v>
      </c>
      <c r="I227" t="s">
        <v>903</v>
      </c>
    </row>
    <row r="228" customHeight="1" spans="1:9">
      <c r="A228" t="s">
        <v>2265</v>
      </c>
      <c r="B228" t="s">
        <v>16</v>
      </c>
      <c r="C228" t="s">
        <v>2418</v>
      </c>
      <c r="D228" t="s">
        <v>2419</v>
      </c>
      <c r="E228" t="s">
        <v>2420</v>
      </c>
      <c r="F228" t="s">
        <v>2421</v>
      </c>
      <c r="G228" t="s">
        <v>28</v>
      </c>
      <c r="H228" t="s">
        <v>28</v>
      </c>
      <c r="I228" t="s">
        <v>903</v>
      </c>
    </row>
    <row r="229" customHeight="1" spans="1:9">
      <c r="A229" t="s">
        <v>2265</v>
      </c>
      <c r="B229" t="s">
        <v>16</v>
      </c>
      <c r="C229" t="s">
        <v>2435</v>
      </c>
      <c r="D229" t="s">
        <v>2436</v>
      </c>
      <c r="E229" t="s">
        <v>2437</v>
      </c>
      <c r="F229" t="s">
        <v>2438</v>
      </c>
      <c r="G229" t="s">
        <v>28</v>
      </c>
      <c r="H229" t="s">
        <v>28</v>
      </c>
      <c r="I229" t="s">
        <v>903</v>
      </c>
    </row>
    <row r="230" customHeight="1" spans="1:9">
      <c r="A230" t="s">
        <v>2265</v>
      </c>
      <c r="B230" t="s">
        <v>16</v>
      </c>
      <c r="C230" t="s">
        <v>28</v>
      </c>
      <c r="D230" t="s">
        <v>2452</v>
      </c>
      <c r="E230" t="s">
        <v>2453</v>
      </c>
      <c r="F230" t="s">
        <v>2269</v>
      </c>
      <c r="G230" t="s">
        <v>28</v>
      </c>
      <c r="H230" t="s">
        <v>28</v>
      </c>
      <c r="I230" t="s">
        <v>903</v>
      </c>
    </row>
    <row r="231" customHeight="1" spans="1:9">
      <c r="A231" t="s">
        <v>2265</v>
      </c>
      <c r="B231" t="s">
        <v>16</v>
      </c>
      <c r="C231" t="s">
        <v>2457</v>
      </c>
      <c r="D231" t="s">
        <v>2458</v>
      </c>
      <c r="E231" t="s">
        <v>2459</v>
      </c>
      <c r="F231" t="s">
        <v>2460</v>
      </c>
      <c r="G231" t="s">
        <v>28</v>
      </c>
      <c r="H231" t="s">
        <v>28</v>
      </c>
      <c r="I231" t="s">
        <v>903</v>
      </c>
    </row>
    <row r="232" customHeight="1" spans="1:9">
      <c r="A232" t="s">
        <v>2265</v>
      </c>
      <c r="B232" t="s">
        <v>16</v>
      </c>
      <c r="C232" t="s">
        <v>2492</v>
      </c>
      <c r="D232" t="s">
        <v>2493</v>
      </c>
      <c r="E232" t="s">
        <v>2494</v>
      </c>
      <c r="F232" t="s">
        <v>2495</v>
      </c>
      <c r="G232" t="s">
        <v>28</v>
      </c>
      <c r="H232" t="s">
        <v>28</v>
      </c>
      <c r="I232" t="s">
        <v>903</v>
      </c>
    </row>
    <row r="233" customHeight="1" spans="1:9">
      <c r="A233" t="s">
        <v>2265</v>
      </c>
      <c r="B233" t="s">
        <v>16</v>
      </c>
      <c r="C233" t="s">
        <v>2500</v>
      </c>
      <c r="D233" t="s">
        <v>2501</v>
      </c>
      <c r="E233" t="s">
        <v>2502</v>
      </c>
      <c r="F233" t="s">
        <v>2503</v>
      </c>
      <c r="G233" t="s">
        <v>28</v>
      </c>
      <c r="H233" t="s">
        <v>28</v>
      </c>
      <c r="I233" t="s">
        <v>903</v>
      </c>
    </row>
    <row r="234" customHeight="1" spans="1:9">
      <c r="A234" t="s">
        <v>2265</v>
      </c>
      <c r="B234" t="s">
        <v>16</v>
      </c>
      <c r="C234" t="s">
        <v>2508</v>
      </c>
      <c r="D234" t="s">
        <v>2509</v>
      </c>
      <c r="E234" t="s">
        <v>2510</v>
      </c>
      <c r="F234" t="s">
        <v>2301</v>
      </c>
      <c r="G234" t="s">
        <v>28</v>
      </c>
      <c r="H234" t="s">
        <v>28</v>
      </c>
      <c r="I234" t="s">
        <v>903</v>
      </c>
    </row>
    <row r="235" customHeight="1" spans="1:9">
      <c r="A235" t="s">
        <v>2265</v>
      </c>
      <c r="B235" t="s">
        <v>16</v>
      </c>
      <c r="C235" t="s">
        <v>2526</v>
      </c>
      <c r="D235" t="s">
        <v>2527</v>
      </c>
      <c r="E235" t="s">
        <v>2528</v>
      </c>
      <c r="F235" t="s">
        <v>2495</v>
      </c>
      <c r="G235" t="s">
        <v>28</v>
      </c>
      <c r="H235" t="s">
        <v>28</v>
      </c>
      <c r="I235" t="s">
        <v>903</v>
      </c>
    </row>
    <row r="236" customHeight="1" spans="1:9">
      <c r="A236" t="s">
        <v>2265</v>
      </c>
      <c r="B236" t="s">
        <v>16</v>
      </c>
      <c r="C236" t="s">
        <v>2529</v>
      </c>
      <c r="D236" t="s">
        <v>2530</v>
      </c>
      <c r="E236" t="s">
        <v>2531</v>
      </c>
      <c r="F236" t="s">
        <v>2532</v>
      </c>
      <c r="G236" t="s">
        <v>28</v>
      </c>
      <c r="H236" t="s">
        <v>28</v>
      </c>
      <c r="I236" t="s">
        <v>903</v>
      </c>
    </row>
    <row r="237" customHeight="1" spans="1:9">
      <c r="A237" t="s">
        <v>2265</v>
      </c>
      <c r="B237" t="s">
        <v>16</v>
      </c>
      <c r="C237" t="s">
        <v>2537</v>
      </c>
      <c r="D237" t="s">
        <v>2538</v>
      </c>
      <c r="E237" t="s">
        <v>2539</v>
      </c>
      <c r="F237" t="s">
        <v>2273</v>
      </c>
      <c r="G237" t="s">
        <v>28</v>
      </c>
      <c r="H237" t="s">
        <v>28</v>
      </c>
      <c r="I237" t="s">
        <v>903</v>
      </c>
    </row>
    <row r="238" customHeight="1" spans="1:9">
      <c r="A238" t="s">
        <v>2265</v>
      </c>
      <c r="B238" t="s">
        <v>16</v>
      </c>
      <c r="C238" t="s">
        <v>2551</v>
      </c>
      <c r="D238" t="s">
        <v>2552</v>
      </c>
      <c r="E238" t="s">
        <v>2553</v>
      </c>
      <c r="F238" t="s">
        <v>2554</v>
      </c>
      <c r="G238" t="s">
        <v>2555</v>
      </c>
      <c r="H238" t="s">
        <v>28</v>
      </c>
      <c r="I238" t="s">
        <v>903</v>
      </c>
    </row>
    <row r="239" customHeight="1" spans="1:9">
      <c r="A239" t="s">
        <v>2265</v>
      </c>
      <c r="B239" t="s">
        <v>16</v>
      </c>
      <c r="C239" t="s">
        <v>2603</v>
      </c>
      <c r="D239" t="s">
        <v>2604</v>
      </c>
      <c r="E239" t="s">
        <v>2605</v>
      </c>
      <c r="F239" t="s">
        <v>2376</v>
      </c>
      <c r="G239" t="s">
        <v>2606</v>
      </c>
      <c r="H239" t="s">
        <v>28</v>
      </c>
      <c r="I239" t="s">
        <v>903</v>
      </c>
    </row>
    <row r="240" customHeight="1" spans="1:9">
      <c r="A240" t="s">
        <v>2265</v>
      </c>
      <c r="B240" t="s">
        <v>16</v>
      </c>
      <c r="C240" t="s">
        <v>2610</v>
      </c>
      <c r="D240" t="s">
        <v>2611</v>
      </c>
      <c r="E240" t="s">
        <v>2612</v>
      </c>
      <c r="F240" t="s">
        <v>2613</v>
      </c>
      <c r="G240" t="s">
        <v>28</v>
      </c>
      <c r="H240" t="s">
        <v>28</v>
      </c>
      <c r="I240" t="s">
        <v>903</v>
      </c>
    </row>
    <row r="241" customHeight="1" spans="1:9">
      <c r="A241" t="s">
        <v>2265</v>
      </c>
      <c r="B241" t="s">
        <v>16</v>
      </c>
      <c r="C241" t="s">
        <v>2614</v>
      </c>
      <c r="D241" t="s">
        <v>2615</v>
      </c>
      <c r="E241" t="s">
        <v>2616</v>
      </c>
      <c r="F241" t="s">
        <v>53</v>
      </c>
      <c r="G241" t="s">
        <v>28</v>
      </c>
      <c r="H241" t="s">
        <v>28</v>
      </c>
      <c r="I241" t="s">
        <v>903</v>
      </c>
    </row>
    <row r="242" customHeight="1" spans="1:9">
      <c r="A242" t="s">
        <v>2265</v>
      </c>
      <c r="B242" t="s">
        <v>16</v>
      </c>
      <c r="C242" t="s">
        <v>2617</v>
      </c>
      <c r="D242" t="s">
        <v>2618</v>
      </c>
      <c r="E242" t="s">
        <v>2619</v>
      </c>
      <c r="F242" t="s">
        <v>2273</v>
      </c>
      <c r="G242" t="s">
        <v>28</v>
      </c>
      <c r="H242" t="s">
        <v>28</v>
      </c>
      <c r="I242" t="s">
        <v>903</v>
      </c>
    </row>
    <row r="243" customHeight="1" spans="1:9">
      <c r="A243" t="s">
        <v>2265</v>
      </c>
      <c r="B243" t="s">
        <v>16</v>
      </c>
      <c r="C243" t="s">
        <v>2630</v>
      </c>
      <c r="D243" t="s">
        <v>2631</v>
      </c>
      <c r="E243" t="s">
        <v>2632</v>
      </c>
      <c r="F243" t="s">
        <v>53</v>
      </c>
      <c r="G243" t="s">
        <v>2633</v>
      </c>
      <c r="H243" t="s">
        <v>28</v>
      </c>
      <c r="I243" t="s">
        <v>903</v>
      </c>
    </row>
    <row r="244" customHeight="1" spans="1:9">
      <c r="A244" t="s">
        <v>2265</v>
      </c>
      <c r="B244" t="s">
        <v>16</v>
      </c>
      <c r="C244" t="s">
        <v>2962</v>
      </c>
      <c r="D244" t="s">
        <v>2963</v>
      </c>
      <c r="E244" t="s">
        <v>2881</v>
      </c>
      <c r="F244" t="s">
        <v>2964</v>
      </c>
      <c r="G244" t="s">
        <v>28</v>
      </c>
      <c r="H244" t="s">
        <v>28</v>
      </c>
      <c r="I244" t="s">
        <v>903</v>
      </c>
    </row>
    <row r="245" customHeight="1" spans="1:9">
      <c r="A245" t="s">
        <v>2265</v>
      </c>
      <c r="B245" t="s">
        <v>16</v>
      </c>
      <c r="C245" t="s">
        <v>2965</v>
      </c>
      <c r="D245" t="s">
        <v>2966</v>
      </c>
      <c r="E245" t="s">
        <v>2881</v>
      </c>
      <c r="F245" t="s">
        <v>2967</v>
      </c>
      <c r="G245" t="s">
        <v>28</v>
      </c>
      <c r="H245" t="s">
        <v>28</v>
      </c>
      <c r="I245" t="s">
        <v>903</v>
      </c>
    </row>
    <row r="246" customHeight="1" spans="1:9">
      <c r="A246" t="s">
        <v>2265</v>
      </c>
      <c r="B246" t="s">
        <v>16</v>
      </c>
      <c r="C246" t="s">
        <v>2663</v>
      </c>
      <c r="D246" t="s">
        <v>2664</v>
      </c>
      <c r="E246" t="s">
        <v>2665</v>
      </c>
      <c r="F246" t="s">
        <v>2351</v>
      </c>
      <c r="G246" t="s">
        <v>28</v>
      </c>
      <c r="H246" t="s">
        <v>28</v>
      </c>
      <c r="I246" t="s">
        <v>903</v>
      </c>
    </row>
    <row r="247" customHeight="1" spans="1:9">
      <c r="A247" t="s">
        <v>2265</v>
      </c>
      <c r="B247" t="s">
        <v>16</v>
      </c>
      <c r="C247" t="s">
        <v>2677</v>
      </c>
      <c r="D247" t="s">
        <v>2678</v>
      </c>
      <c r="E247" t="s">
        <v>2679</v>
      </c>
      <c r="F247" t="s">
        <v>2340</v>
      </c>
      <c r="G247" t="s">
        <v>28</v>
      </c>
      <c r="H247" t="s">
        <v>28</v>
      </c>
      <c r="I247" t="s">
        <v>903</v>
      </c>
    </row>
    <row r="248" customHeight="1" spans="1:9">
      <c r="A248" t="s">
        <v>2265</v>
      </c>
      <c r="B248" t="s">
        <v>16</v>
      </c>
      <c r="C248" t="s">
        <v>2686</v>
      </c>
      <c r="D248" t="s">
        <v>2687</v>
      </c>
      <c r="E248" t="s">
        <v>2688</v>
      </c>
      <c r="F248" t="s">
        <v>2689</v>
      </c>
      <c r="G248" t="s">
        <v>28</v>
      </c>
      <c r="H248" t="s">
        <v>28</v>
      </c>
      <c r="I248" t="s">
        <v>903</v>
      </c>
    </row>
    <row r="249" customHeight="1" spans="1:9">
      <c r="A249" t="s">
        <v>2265</v>
      </c>
      <c r="B249" t="s">
        <v>16</v>
      </c>
      <c r="C249" t="s">
        <v>2696</v>
      </c>
      <c r="D249" t="s">
        <v>2697</v>
      </c>
      <c r="E249" t="s">
        <v>2698</v>
      </c>
      <c r="F249" t="s">
        <v>2344</v>
      </c>
      <c r="G249" t="s">
        <v>28</v>
      </c>
      <c r="H249" t="s">
        <v>28</v>
      </c>
      <c r="I249" t="s">
        <v>903</v>
      </c>
    </row>
    <row r="250" customHeight="1" spans="1:9">
      <c r="A250" t="s">
        <v>2265</v>
      </c>
      <c r="B250" t="s">
        <v>16</v>
      </c>
      <c r="C250" t="s">
        <v>2699</v>
      </c>
      <c r="D250" t="s">
        <v>2700</v>
      </c>
      <c r="E250" t="s">
        <v>2701</v>
      </c>
      <c r="F250" t="s">
        <v>2499</v>
      </c>
      <c r="G250" t="s">
        <v>28</v>
      </c>
      <c r="H250" t="s">
        <v>28</v>
      </c>
      <c r="I250" t="s">
        <v>903</v>
      </c>
    </row>
    <row r="251" customHeight="1" spans="1:9">
      <c r="A251" t="s">
        <v>2265</v>
      </c>
      <c r="B251" t="s">
        <v>16</v>
      </c>
      <c r="C251" t="s">
        <v>2722</v>
      </c>
      <c r="D251" t="s">
        <v>2723</v>
      </c>
      <c r="E251" t="s">
        <v>2724</v>
      </c>
      <c r="F251" t="s">
        <v>2301</v>
      </c>
      <c r="G251" t="s">
        <v>28</v>
      </c>
      <c r="H251" t="s">
        <v>28</v>
      </c>
      <c r="I251" t="s">
        <v>903</v>
      </c>
    </row>
    <row r="252" customHeight="1" spans="1:9">
      <c r="A252" t="s">
        <v>2265</v>
      </c>
      <c r="B252" t="s">
        <v>16</v>
      </c>
      <c r="C252" t="s">
        <v>2732</v>
      </c>
      <c r="D252" t="s">
        <v>2733</v>
      </c>
      <c r="E252" t="s">
        <v>2734</v>
      </c>
      <c r="F252" t="s">
        <v>2325</v>
      </c>
      <c r="G252" t="s">
        <v>28</v>
      </c>
      <c r="H252" t="s">
        <v>28</v>
      </c>
      <c r="I252" t="s">
        <v>903</v>
      </c>
    </row>
    <row r="253" customHeight="1" spans="1:9">
      <c r="A253" t="s">
        <v>2265</v>
      </c>
      <c r="B253" t="s">
        <v>16</v>
      </c>
      <c r="C253" t="s">
        <v>2738</v>
      </c>
      <c r="D253" t="s">
        <v>2739</v>
      </c>
      <c r="E253" t="s">
        <v>2740</v>
      </c>
      <c r="F253" t="s">
        <v>2428</v>
      </c>
      <c r="G253" t="s">
        <v>28</v>
      </c>
      <c r="H253" t="s">
        <v>28</v>
      </c>
      <c r="I253" t="s">
        <v>903</v>
      </c>
    </row>
    <row r="254" customHeight="1" spans="1:9">
      <c r="A254" t="s">
        <v>2265</v>
      </c>
      <c r="B254" t="s">
        <v>16</v>
      </c>
      <c r="C254" t="s">
        <v>2741</v>
      </c>
      <c r="D254" t="s">
        <v>2742</v>
      </c>
      <c r="E254" t="s">
        <v>2743</v>
      </c>
      <c r="F254" t="s">
        <v>2269</v>
      </c>
      <c r="G254" t="s">
        <v>28</v>
      </c>
      <c r="H254" t="s">
        <v>28</v>
      </c>
      <c r="I254" t="s">
        <v>903</v>
      </c>
    </row>
    <row r="255" customHeight="1" spans="1:9">
      <c r="A255" t="s">
        <v>2265</v>
      </c>
      <c r="B255" t="s">
        <v>16</v>
      </c>
      <c r="C255" t="s">
        <v>2744</v>
      </c>
      <c r="D255" t="s">
        <v>2745</v>
      </c>
      <c r="E255" t="s">
        <v>2746</v>
      </c>
      <c r="F255" t="s">
        <v>2344</v>
      </c>
      <c r="G255" t="s">
        <v>28</v>
      </c>
      <c r="H255" t="s">
        <v>28</v>
      </c>
      <c r="I255" t="s">
        <v>903</v>
      </c>
    </row>
    <row r="256" customHeight="1" spans="1:9">
      <c r="A256" t="s">
        <v>2265</v>
      </c>
      <c r="B256" t="s">
        <v>16</v>
      </c>
      <c r="C256" t="s">
        <v>2787</v>
      </c>
      <c r="D256" t="s">
        <v>2788</v>
      </c>
      <c r="E256" t="s">
        <v>2789</v>
      </c>
      <c r="F256" t="s">
        <v>2273</v>
      </c>
      <c r="G256" t="s">
        <v>28</v>
      </c>
      <c r="H256" t="s">
        <v>28</v>
      </c>
      <c r="I256" t="s">
        <v>903</v>
      </c>
    </row>
    <row r="257" customHeight="1" spans="1:9">
      <c r="A257" t="s">
        <v>2265</v>
      </c>
      <c r="B257" t="s">
        <v>16</v>
      </c>
      <c r="C257" t="s">
        <v>2799</v>
      </c>
      <c r="D257" t="s">
        <v>2800</v>
      </c>
      <c r="E257" t="s">
        <v>2801</v>
      </c>
      <c r="F257" t="s">
        <v>2273</v>
      </c>
      <c r="G257" t="s">
        <v>28</v>
      </c>
      <c r="H257" t="s">
        <v>28</v>
      </c>
      <c r="I257" t="s">
        <v>903</v>
      </c>
    </row>
    <row r="258" customHeight="1" spans="1:9">
      <c r="A258" t="s">
        <v>2265</v>
      </c>
      <c r="B258" t="s">
        <v>16</v>
      </c>
      <c r="C258" t="s">
        <v>2808</v>
      </c>
      <c r="D258" t="s">
        <v>2809</v>
      </c>
      <c r="E258" t="s">
        <v>2810</v>
      </c>
      <c r="F258" t="s">
        <v>53</v>
      </c>
      <c r="G258" t="s">
        <v>28</v>
      </c>
      <c r="H258" t="s">
        <v>28</v>
      </c>
      <c r="I258" t="s">
        <v>903</v>
      </c>
    </row>
    <row r="259" customHeight="1" spans="1:9">
      <c r="A259" t="s">
        <v>2265</v>
      </c>
      <c r="B259" t="s">
        <v>16</v>
      </c>
      <c r="C259" t="s">
        <v>2836</v>
      </c>
      <c r="D259" t="s">
        <v>2837</v>
      </c>
      <c r="E259" t="s">
        <v>2838</v>
      </c>
      <c r="F259" t="s">
        <v>2269</v>
      </c>
      <c r="G259" t="s">
        <v>28</v>
      </c>
      <c r="H259" t="s">
        <v>28</v>
      </c>
      <c r="I259" t="s">
        <v>903</v>
      </c>
    </row>
    <row r="260" customHeight="1" spans="1:9">
      <c r="A260" t="s">
        <v>2265</v>
      </c>
      <c r="B260" t="s">
        <v>16</v>
      </c>
      <c r="C260" t="s">
        <v>2843</v>
      </c>
      <c r="D260" t="s">
        <v>2844</v>
      </c>
      <c r="E260" t="s">
        <v>2845</v>
      </c>
      <c r="F260" t="s">
        <v>2689</v>
      </c>
      <c r="G260" t="s">
        <v>28</v>
      </c>
      <c r="H260" t="s">
        <v>28</v>
      </c>
      <c r="I260" t="s">
        <v>903</v>
      </c>
    </row>
    <row r="261" customHeight="1" spans="1:9">
      <c r="A261" t="s">
        <v>2265</v>
      </c>
      <c r="B261" t="s">
        <v>16</v>
      </c>
      <c r="C261" t="s">
        <v>2852</v>
      </c>
      <c r="D261" t="s">
        <v>2853</v>
      </c>
      <c r="E261" t="s">
        <v>2854</v>
      </c>
      <c r="F261" t="s">
        <v>2301</v>
      </c>
      <c r="G261" t="s">
        <v>28</v>
      </c>
      <c r="H261" t="s">
        <v>28</v>
      </c>
      <c r="I261" t="s">
        <v>903</v>
      </c>
    </row>
    <row r="262" customHeight="1" spans="1:9">
      <c r="A262" t="s">
        <v>2265</v>
      </c>
      <c r="B262" t="s">
        <v>16</v>
      </c>
      <c r="C262" t="s">
        <v>2879</v>
      </c>
      <c r="D262" t="s">
        <v>2880</v>
      </c>
      <c r="E262" t="s">
        <v>2881</v>
      </c>
      <c r="F262" t="s">
        <v>2376</v>
      </c>
      <c r="G262" t="s">
        <v>28</v>
      </c>
      <c r="H262" t="s">
        <v>28</v>
      </c>
      <c r="I262" t="s">
        <v>903</v>
      </c>
    </row>
    <row r="263" customHeight="1" spans="1:9">
      <c r="A263" t="s">
        <v>2265</v>
      </c>
      <c r="B263" t="s">
        <v>16</v>
      </c>
      <c r="C263" t="s">
        <v>2891</v>
      </c>
      <c r="D263" t="s">
        <v>2892</v>
      </c>
      <c r="E263" t="s">
        <v>2893</v>
      </c>
      <c r="F263" t="s">
        <v>2613</v>
      </c>
      <c r="G263" t="s">
        <v>28</v>
      </c>
      <c r="H263" t="s">
        <v>28</v>
      </c>
      <c r="I263" t="s">
        <v>903</v>
      </c>
    </row>
    <row r="264" customHeight="1" spans="1:9">
      <c r="A264" t="s">
        <v>2265</v>
      </c>
      <c r="B264" t="s">
        <v>16</v>
      </c>
      <c r="C264" t="s">
        <v>2903</v>
      </c>
      <c r="D264" t="s">
        <v>2904</v>
      </c>
      <c r="E264" t="s">
        <v>2905</v>
      </c>
      <c r="F264" t="s">
        <v>2906</v>
      </c>
      <c r="G264" t="s">
        <v>28</v>
      </c>
      <c r="H264" t="s">
        <v>28</v>
      </c>
      <c r="I264" t="s">
        <v>903</v>
      </c>
    </row>
    <row r="265" customHeight="1" spans="1:9">
      <c r="A265" t="s">
        <v>2265</v>
      </c>
      <c r="B265" t="s">
        <v>16</v>
      </c>
      <c r="C265" t="s">
        <v>2933</v>
      </c>
      <c r="D265" t="s">
        <v>2934</v>
      </c>
      <c r="E265" t="s">
        <v>2935</v>
      </c>
      <c r="F265" t="s">
        <v>2936</v>
      </c>
      <c r="G265" t="s">
        <v>28</v>
      </c>
      <c r="H265" t="s">
        <v>28</v>
      </c>
      <c r="I265" t="s">
        <v>903</v>
      </c>
    </row>
    <row r="266" customHeight="1" spans="1:9">
      <c r="A266" t="s">
        <v>2265</v>
      </c>
      <c r="B266" t="s">
        <v>16</v>
      </c>
      <c r="C266" t="s">
        <v>2943</v>
      </c>
      <c r="D266" t="s">
        <v>2944</v>
      </c>
      <c r="E266" t="s">
        <v>2945</v>
      </c>
      <c r="F266" t="s">
        <v>2946</v>
      </c>
      <c r="G266" t="s">
        <v>28</v>
      </c>
      <c r="H266" t="s">
        <v>28</v>
      </c>
      <c r="I266" t="s">
        <v>903</v>
      </c>
    </row>
    <row r="267" customHeight="1" spans="1:9">
      <c r="A267" t="s">
        <v>2265</v>
      </c>
      <c r="B267" t="s">
        <v>16</v>
      </c>
      <c r="C267" t="s">
        <v>2968</v>
      </c>
      <c r="D267" t="s">
        <v>2969</v>
      </c>
      <c r="E267" t="s">
        <v>2276</v>
      </c>
      <c r="F267" t="s">
        <v>2970</v>
      </c>
      <c r="G267" t="s">
        <v>28</v>
      </c>
      <c r="H267" t="s">
        <v>28</v>
      </c>
      <c r="I267" t="s">
        <v>903</v>
      </c>
    </row>
    <row r="268" customHeight="1" spans="1:9">
      <c r="A268" t="s">
        <v>2265</v>
      </c>
      <c r="B268" t="s">
        <v>16</v>
      </c>
      <c r="C268" t="s">
        <v>2971</v>
      </c>
      <c r="D268" t="s">
        <v>2972</v>
      </c>
      <c r="E268" t="s">
        <v>2276</v>
      </c>
      <c r="F268" t="s">
        <v>2973</v>
      </c>
      <c r="G268" t="s">
        <v>28</v>
      </c>
      <c r="H268" t="s">
        <v>28</v>
      </c>
      <c r="I268" t="s">
        <v>903</v>
      </c>
    </row>
    <row r="269" customHeight="1" spans="1:9">
      <c r="A269" t="s">
        <v>2265</v>
      </c>
      <c r="B269" t="s">
        <v>16</v>
      </c>
      <c r="C269" t="s">
        <v>2974</v>
      </c>
      <c r="D269" t="s">
        <v>2975</v>
      </c>
      <c r="E269" t="s">
        <v>2276</v>
      </c>
      <c r="F269" t="s">
        <v>2976</v>
      </c>
      <c r="G269" t="s">
        <v>28</v>
      </c>
      <c r="H269" t="s">
        <v>28</v>
      </c>
      <c r="I269" t="s">
        <v>903</v>
      </c>
    </row>
    <row r="270" customHeight="1" spans="1:9">
      <c r="A270" t="s">
        <v>2265</v>
      </c>
      <c r="B270" t="s">
        <v>16</v>
      </c>
      <c r="C270" t="s">
        <v>2955</v>
      </c>
      <c r="D270" t="s">
        <v>2956</v>
      </c>
      <c r="E270" t="s">
        <v>2935</v>
      </c>
      <c r="F270" t="s">
        <v>2957</v>
      </c>
      <c r="G270" t="s">
        <v>28</v>
      </c>
      <c r="H270" t="s">
        <v>28</v>
      </c>
      <c r="I270" t="s">
        <v>903</v>
      </c>
    </row>
    <row r="271" customHeight="1" spans="1:9">
      <c r="A271" t="s">
        <v>2265</v>
      </c>
      <c r="B271" t="s">
        <v>16</v>
      </c>
      <c r="C271" t="s">
        <v>2958</v>
      </c>
      <c r="D271" t="s">
        <v>2959</v>
      </c>
      <c r="E271" t="s">
        <v>2960</v>
      </c>
      <c r="F271" t="s">
        <v>2961</v>
      </c>
      <c r="G271" t="s">
        <v>28</v>
      </c>
      <c r="H271" t="s">
        <v>28</v>
      </c>
      <c r="I271" t="s">
        <v>903</v>
      </c>
    </row>
    <row r="272" customHeight="1" spans="1:9">
      <c r="A272" t="s">
        <v>2265</v>
      </c>
      <c r="B272" t="s">
        <v>16</v>
      </c>
      <c r="C272" t="s">
        <v>2274</v>
      </c>
      <c r="D272" t="s">
        <v>2275</v>
      </c>
      <c r="E272" t="s">
        <v>2276</v>
      </c>
      <c r="F272" t="s">
        <v>2277</v>
      </c>
      <c r="G272" t="s">
        <v>28</v>
      </c>
      <c r="H272" t="s">
        <v>28</v>
      </c>
      <c r="I272" t="s">
        <v>863</v>
      </c>
    </row>
    <row r="273" customHeight="1" spans="1:9">
      <c r="A273" t="s">
        <v>2265</v>
      </c>
      <c r="B273" t="s">
        <v>16</v>
      </c>
      <c r="C273" t="s">
        <v>2977</v>
      </c>
      <c r="D273" t="s">
        <v>2978</v>
      </c>
      <c r="E273" t="s">
        <v>2979</v>
      </c>
      <c r="F273" t="s">
        <v>2273</v>
      </c>
      <c r="G273" t="s">
        <v>28</v>
      </c>
      <c r="H273" t="s">
        <v>28</v>
      </c>
      <c r="I273" t="s">
        <v>863</v>
      </c>
    </row>
    <row r="274" customHeight="1" spans="1:9">
      <c r="A274" t="s">
        <v>2265</v>
      </c>
      <c r="B274" t="s">
        <v>16</v>
      </c>
      <c r="C274" t="s">
        <v>2281</v>
      </c>
      <c r="D274" t="s">
        <v>2282</v>
      </c>
      <c r="E274" t="s">
        <v>2283</v>
      </c>
      <c r="F274" t="s">
        <v>2284</v>
      </c>
      <c r="G274" t="s">
        <v>28</v>
      </c>
      <c r="H274" t="s">
        <v>28</v>
      </c>
      <c r="I274" t="s">
        <v>863</v>
      </c>
    </row>
    <row r="275" customHeight="1" spans="1:9">
      <c r="A275" t="s">
        <v>2265</v>
      </c>
      <c r="B275" t="s">
        <v>16</v>
      </c>
      <c r="C275" t="s">
        <v>2285</v>
      </c>
      <c r="D275" t="s">
        <v>2286</v>
      </c>
      <c r="E275" t="s">
        <v>2287</v>
      </c>
      <c r="F275" t="s">
        <v>2288</v>
      </c>
      <c r="G275" t="s">
        <v>28</v>
      </c>
      <c r="H275" t="s">
        <v>28</v>
      </c>
      <c r="I275" t="s">
        <v>863</v>
      </c>
    </row>
    <row r="276" customHeight="1" spans="1:9">
      <c r="A276" t="s">
        <v>2265</v>
      </c>
      <c r="B276" t="s">
        <v>16</v>
      </c>
      <c r="C276" t="s">
        <v>2980</v>
      </c>
      <c r="D276" t="s">
        <v>2981</v>
      </c>
      <c r="E276" t="s">
        <v>2982</v>
      </c>
      <c r="F276" t="s">
        <v>2297</v>
      </c>
      <c r="G276" t="s">
        <v>28</v>
      </c>
      <c r="H276" t="s">
        <v>28</v>
      </c>
      <c r="I276" t="s">
        <v>863</v>
      </c>
    </row>
    <row r="277" customHeight="1" spans="1:9">
      <c r="A277" t="s">
        <v>2265</v>
      </c>
      <c r="B277" t="s">
        <v>16</v>
      </c>
      <c r="C277" t="s">
        <v>2298</v>
      </c>
      <c r="D277" t="s">
        <v>2299</v>
      </c>
      <c r="E277" t="s">
        <v>2300</v>
      </c>
      <c r="F277" t="s">
        <v>2301</v>
      </c>
      <c r="G277" t="s">
        <v>28</v>
      </c>
      <c r="H277" t="s">
        <v>28</v>
      </c>
      <c r="I277" t="s">
        <v>863</v>
      </c>
    </row>
    <row r="278" customHeight="1" spans="1:9">
      <c r="A278" t="s">
        <v>2265</v>
      </c>
      <c r="B278" t="s">
        <v>16</v>
      </c>
      <c r="C278" t="s">
        <v>2302</v>
      </c>
      <c r="D278" t="s">
        <v>2303</v>
      </c>
      <c r="E278" t="s">
        <v>2304</v>
      </c>
      <c r="F278" t="s">
        <v>2305</v>
      </c>
      <c r="G278" t="s">
        <v>28</v>
      </c>
      <c r="H278" t="s">
        <v>28</v>
      </c>
      <c r="I278" t="s">
        <v>863</v>
      </c>
    </row>
    <row r="279" customHeight="1" spans="1:9">
      <c r="A279" t="s">
        <v>2265</v>
      </c>
      <c r="B279" t="s">
        <v>16</v>
      </c>
      <c r="C279" t="s">
        <v>2306</v>
      </c>
      <c r="D279" t="s">
        <v>2307</v>
      </c>
      <c r="E279" t="s">
        <v>2308</v>
      </c>
      <c r="F279" t="s">
        <v>2309</v>
      </c>
      <c r="G279" t="s">
        <v>28</v>
      </c>
      <c r="H279" t="s">
        <v>28</v>
      </c>
      <c r="I279" t="s">
        <v>863</v>
      </c>
    </row>
    <row r="280" customHeight="1" spans="1:9">
      <c r="A280" t="s">
        <v>2265</v>
      </c>
      <c r="B280" t="s">
        <v>16</v>
      </c>
      <c r="C280" t="s">
        <v>2310</v>
      </c>
      <c r="D280" t="s">
        <v>2307</v>
      </c>
      <c r="E280" t="s">
        <v>2308</v>
      </c>
      <c r="F280" t="s">
        <v>2311</v>
      </c>
      <c r="G280" t="s">
        <v>2312</v>
      </c>
      <c r="H280" t="s">
        <v>28</v>
      </c>
      <c r="I280" t="s">
        <v>863</v>
      </c>
    </row>
    <row r="281" customHeight="1" spans="1:9">
      <c r="A281" t="s">
        <v>2265</v>
      </c>
      <c r="B281" t="s">
        <v>16</v>
      </c>
      <c r="C281" t="s">
        <v>2313</v>
      </c>
      <c r="D281" t="s">
        <v>2307</v>
      </c>
      <c r="E281" t="s">
        <v>2308</v>
      </c>
      <c r="F281" t="s">
        <v>2314</v>
      </c>
      <c r="G281" t="s">
        <v>28</v>
      </c>
      <c r="H281" t="s">
        <v>28</v>
      </c>
      <c r="I281" t="s">
        <v>863</v>
      </c>
    </row>
    <row r="282" customHeight="1" spans="1:9">
      <c r="A282" t="s">
        <v>2265</v>
      </c>
      <c r="B282" t="s">
        <v>16</v>
      </c>
      <c r="C282" t="s">
        <v>2983</v>
      </c>
      <c r="D282" t="s">
        <v>2984</v>
      </c>
      <c r="E282" t="s">
        <v>2985</v>
      </c>
      <c r="F282" t="s">
        <v>2325</v>
      </c>
      <c r="G282" t="s">
        <v>28</v>
      </c>
      <c r="H282" t="s">
        <v>28</v>
      </c>
      <c r="I282" t="s">
        <v>863</v>
      </c>
    </row>
    <row r="283" customHeight="1" spans="1:9">
      <c r="A283" t="s">
        <v>2265</v>
      </c>
      <c r="B283" t="s">
        <v>16</v>
      </c>
      <c r="C283" t="s">
        <v>2333</v>
      </c>
      <c r="D283" t="s">
        <v>2334</v>
      </c>
      <c r="E283" t="s">
        <v>2335</v>
      </c>
      <c r="F283" t="s">
        <v>2336</v>
      </c>
      <c r="G283" t="s">
        <v>28</v>
      </c>
      <c r="H283" t="s">
        <v>28</v>
      </c>
      <c r="I283" t="s">
        <v>863</v>
      </c>
    </row>
    <row r="284" customHeight="1" spans="1:9">
      <c r="A284" t="s">
        <v>2265</v>
      </c>
      <c r="B284" t="s">
        <v>16</v>
      </c>
      <c r="C284" t="s">
        <v>2337</v>
      </c>
      <c r="D284" t="s">
        <v>2338</v>
      </c>
      <c r="E284" t="s">
        <v>2339</v>
      </c>
      <c r="F284" t="s">
        <v>2340</v>
      </c>
      <c r="G284" t="s">
        <v>28</v>
      </c>
      <c r="H284" t="s">
        <v>28</v>
      </c>
      <c r="I284" t="s">
        <v>863</v>
      </c>
    </row>
    <row r="285" customHeight="1" spans="1:9">
      <c r="A285" t="s">
        <v>2265</v>
      </c>
      <c r="B285" t="s">
        <v>16</v>
      </c>
      <c r="C285" t="s">
        <v>2352</v>
      </c>
      <c r="D285" t="s">
        <v>2353</v>
      </c>
      <c r="E285" t="s">
        <v>2354</v>
      </c>
      <c r="F285" t="s">
        <v>2355</v>
      </c>
      <c r="G285" t="s">
        <v>28</v>
      </c>
      <c r="H285" t="s">
        <v>28</v>
      </c>
      <c r="I285" t="s">
        <v>863</v>
      </c>
    </row>
    <row r="286" customHeight="1" spans="1:9">
      <c r="A286" t="s">
        <v>2265</v>
      </c>
      <c r="B286" t="s">
        <v>16</v>
      </c>
      <c r="C286" t="s">
        <v>2986</v>
      </c>
      <c r="D286" t="s">
        <v>2987</v>
      </c>
      <c r="E286" t="s">
        <v>2988</v>
      </c>
      <c r="F286" t="s">
        <v>2355</v>
      </c>
      <c r="G286" t="s">
        <v>28</v>
      </c>
      <c r="H286" t="s">
        <v>28</v>
      </c>
      <c r="I286" t="s">
        <v>863</v>
      </c>
    </row>
    <row r="287" customHeight="1" spans="1:9">
      <c r="A287" t="s">
        <v>2265</v>
      </c>
      <c r="B287" t="s">
        <v>16</v>
      </c>
      <c r="C287" t="s">
        <v>2989</v>
      </c>
      <c r="D287" t="s">
        <v>2990</v>
      </c>
      <c r="E287" t="s">
        <v>2991</v>
      </c>
      <c r="F287" t="s">
        <v>2362</v>
      </c>
      <c r="G287" t="s">
        <v>28</v>
      </c>
      <c r="H287" t="s">
        <v>28</v>
      </c>
      <c r="I287" t="s">
        <v>863</v>
      </c>
    </row>
    <row r="288" customHeight="1" spans="1:9">
      <c r="A288" t="s">
        <v>2265</v>
      </c>
      <c r="B288" t="s">
        <v>16</v>
      </c>
      <c r="C288" t="s">
        <v>2363</v>
      </c>
      <c r="D288" t="s">
        <v>2364</v>
      </c>
      <c r="E288" t="s">
        <v>2365</v>
      </c>
      <c r="F288" t="s">
        <v>2344</v>
      </c>
      <c r="G288" t="s">
        <v>28</v>
      </c>
      <c r="H288" t="s">
        <v>28</v>
      </c>
      <c r="I288" t="s">
        <v>863</v>
      </c>
    </row>
    <row r="289" customHeight="1" spans="1:9">
      <c r="A289" t="s">
        <v>2265</v>
      </c>
      <c r="B289" t="s">
        <v>16</v>
      </c>
      <c r="C289" t="s">
        <v>2366</v>
      </c>
      <c r="D289" t="s">
        <v>2367</v>
      </c>
      <c r="E289" t="s">
        <v>2368</v>
      </c>
      <c r="F289" t="s">
        <v>2369</v>
      </c>
      <c r="G289" t="s">
        <v>28</v>
      </c>
      <c r="H289" t="s">
        <v>28</v>
      </c>
      <c r="I289" t="s">
        <v>863</v>
      </c>
    </row>
    <row r="290" customHeight="1" spans="1:9">
      <c r="A290" t="s">
        <v>2265</v>
      </c>
      <c r="B290" t="s">
        <v>16</v>
      </c>
      <c r="C290" t="s">
        <v>2377</v>
      </c>
      <c r="D290" t="s">
        <v>2378</v>
      </c>
      <c r="E290" t="s">
        <v>2379</v>
      </c>
      <c r="F290" t="s">
        <v>2380</v>
      </c>
      <c r="G290" t="s">
        <v>28</v>
      </c>
      <c r="H290" t="s">
        <v>28</v>
      </c>
      <c r="I290" t="s">
        <v>863</v>
      </c>
    </row>
    <row r="291" customHeight="1" spans="1:9">
      <c r="A291" t="s">
        <v>2265</v>
      </c>
      <c r="B291" t="s">
        <v>16</v>
      </c>
      <c r="C291" t="s">
        <v>2381</v>
      </c>
      <c r="D291" t="s">
        <v>2382</v>
      </c>
      <c r="E291" t="s">
        <v>2383</v>
      </c>
      <c r="F291" t="s">
        <v>2384</v>
      </c>
      <c r="G291" t="s">
        <v>28</v>
      </c>
      <c r="H291" t="s">
        <v>28</v>
      </c>
      <c r="I291" t="s">
        <v>863</v>
      </c>
    </row>
    <row r="292" customHeight="1" spans="1:9">
      <c r="A292" t="s">
        <v>2265</v>
      </c>
      <c r="B292" t="s">
        <v>16</v>
      </c>
      <c r="C292" t="s">
        <v>13</v>
      </c>
      <c r="D292" t="s">
        <v>48</v>
      </c>
      <c r="E292" t="s">
        <v>51</v>
      </c>
      <c r="F292" t="s">
        <v>53</v>
      </c>
      <c r="G292" t="s">
        <v>28</v>
      </c>
      <c r="H292" t="s">
        <v>28</v>
      </c>
      <c r="I292" t="s">
        <v>863</v>
      </c>
    </row>
    <row r="293" customHeight="1" spans="1:9">
      <c r="A293" t="s">
        <v>2265</v>
      </c>
      <c r="B293" t="s">
        <v>16</v>
      </c>
      <c r="C293" t="s">
        <v>2385</v>
      </c>
      <c r="D293" t="s">
        <v>2386</v>
      </c>
      <c r="E293" t="s">
        <v>2387</v>
      </c>
      <c r="F293" t="s">
        <v>2376</v>
      </c>
      <c r="G293" t="s">
        <v>2388</v>
      </c>
      <c r="H293" t="s">
        <v>28</v>
      </c>
      <c r="I293" t="s">
        <v>863</v>
      </c>
    </row>
    <row r="294" customHeight="1" spans="1:9">
      <c r="A294" t="s">
        <v>2265</v>
      </c>
      <c r="B294" t="s">
        <v>16</v>
      </c>
      <c r="C294" t="s">
        <v>2389</v>
      </c>
      <c r="D294" t="s">
        <v>2390</v>
      </c>
      <c r="E294" t="s">
        <v>2391</v>
      </c>
      <c r="F294" t="s">
        <v>2392</v>
      </c>
      <c r="G294" t="s">
        <v>28</v>
      </c>
      <c r="H294" t="s">
        <v>28</v>
      </c>
      <c r="I294" t="s">
        <v>863</v>
      </c>
    </row>
    <row r="295" customHeight="1" spans="1:9">
      <c r="A295" t="s">
        <v>2265</v>
      </c>
      <c r="B295" t="s">
        <v>16</v>
      </c>
      <c r="C295" t="s">
        <v>2393</v>
      </c>
      <c r="D295" t="s">
        <v>2394</v>
      </c>
      <c r="E295" t="s">
        <v>2395</v>
      </c>
      <c r="F295" t="s">
        <v>2340</v>
      </c>
      <c r="G295" t="s">
        <v>28</v>
      </c>
      <c r="H295" t="s">
        <v>28</v>
      </c>
      <c r="I295" t="s">
        <v>863</v>
      </c>
    </row>
    <row r="296" customHeight="1" spans="1:9">
      <c r="A296" t="s">
        <v>2265</v>
      </c>
      <c r="B296" t="s">
        <v>16</v>
      </c>
      <c r="C296" t="s">
        <v>2992</v>
      </c>
      <c r="D296" t="s">
        <v>2993</v>
      </c>
      <c r="E296" t="s">
        <v>2994</v>
      </c>
      <c r="F296" t="s">
        <v>2301</v>
      </c>
      <c r="G296" t="s">
        <v>28</v>
      </c>
      <c r="H296" t="s">
        <v>28</v>
      </c>
      <c r="I296" t="s">
        <v>863</v>
      </c>
    </row>
    <row r="297" customHeight="1" spans="1:9">
      <c r="A297" t="s">
        <v>2265</v>
      </c>
      <c r="B297" t="s">
        <v>16</v>
      </c>
      <c r="C297" t="s">
        <v>2396</v>
      </c>
      <c r="D297" t="s">
        <v>2397</v>
      </c>
      <c r="E297" t="s">
        <v>2398</v>
      </c>
      <c r="F297" t="s">
        <v>2399</v>
      </c>
      <c r="G297" t="s">
        <v>28</v>
      </c>
      <c r="H297" t="s">
        <v>28</v>
      </c>
      <c r="I297" t="s">
        <v>863</v>
      </c>
    </row>
    <row r="298" customHeight="1" spans="1:9">
      <c r="A298" t="s">
        <v>2265</v>
      </c>
      <c r="B298" t="s">
        <v>16</v>
      </c>
      <c r="C298" t="s">
        <v>2400</v>
      </c>
      <c r="D298" t="s">
        <v>2401</v>
      </c>
      <c r="E298" t="s">
        <v>2402</v>
      </c>
      <c r="F298" t="s">
        <v>2384</v>
      </c>
      <c r="G298" t="s">
        <v>28</v>
      </c>
      <c r="H298" t="s">
        <v>28</v>
      </c>
      <c r="I298" t="s">
        <v>863</v>
      </c>
    </row>
    <row r="299" customHeight="1" spans="1:9">
      <c r="A299" t="s">
        <v>2265</v>
      </c>
      <c r="B299" t="s">
        <v>16</v>
      </c>
      <c r="C299" t="s">
        <v>2403</v>
      </c>
      <c r="D299" t="s">
        <v>2404</v>
      </c>
      <c r="E299" t="s">
        <v>2405</v>
      </c>
      <c r="F299" t="s">
        <v>2301</v>
      </c>
      <c r="G299" t="s">
        <v>2406</v>
      </c>
      <c r="H299" t="s">
        <v>28</v>
      </c>
      <c r="I299" t="s">
        <v>863</v>
      </c>
    </row>
    <row r="300" customHeight="1" spans="1:9">
      <c r="A300" t="s">
        <v>2265</v>
      </c>
      <c r="B300" t="s">
        <v>16</v>
      </c>
      <c r="C300" t="s">
        <v>2407</v>
      </c>
      <c r="D300" t="s">
        <v>2408</v>
      </c>
      <c r="E300" t="s">
        <v>2409</v>
      </c>
      <c r="F300" t="s">
        <v>2410</v>
      </c>
      <c r="G300" t="s">
        <v>28</v>
      </c>
      <c r="H300" t="s">
        <v>28</v>
      </c>
      <c r="I300" t="s">
        <v>863</v>
      </c>
    </row>
    <row r="301" customHeight="1" spans="1:9">
      <c r="A301" t="s">
        <v>2265</v>
      </c>
      <c r="B301" t="s">
        <v>16</v>
      </c>
      <c r="C301" t="s">
        <v>2411</v>
      </c>
      <c r="D301" t="s">
        <v>2412</v>
      </c>
      <c r="E301" t="s">
        <v>2413</v>
      </c>
      <c r="F301" t="s">
        <v>2269</v>
      </c>
      <c r="G301" t="s">
        <v>2414</v>
      </c>
      <c r="H301" t="s">
        <v>28</v>
      </c>
      <c r="I301" t="s">
        <v>863</v>
      </c>
    </row>
    <row r="302" customHeight="1" spans="1:9">
      <c r="A302" t="s">
        <v>2265</v>
      </c>
      <c r="B302" t="s">
        <v>16</v>
      </c>
      <c r="C302" t="s">
        <v>2995</v>
      </c>
      <c r="D302" t="s">
        <v>2996</v>
      </c>
      <c r="E302" t="s">
        <v>2997</v>
      </c>
      <c r="F302" t="s">
        <v>2421</v>
      </c>
      <c r="G302" t="s">
        <v>28</v>
      </c>
      <c r="H302" t="s">
        <v>28</v>
      </c>
      <c r="I302" t="s">
        <v>863</v>
      </c>
    </row>
    <row r="303" customHeight="1" spans="1:9">
      <c r="A303" t="s">
        <v>2265</v>
      </c>
      <c r="B303" t="s">
        <v>16</v>
      </c>
      <c r="C303" t="s">
        <v>2422</v>
      </c>
      <c r="D303" t="s">
        <v>2423</v>
      </c>
      <c r="E303" t="s">
        <v>2424</v>
      </c>
      <c r="F303" t="s">
        <v>2269</v>
      </c>
      <c r="G303" t="s">
        <v>28</v>
      </c>
      <c r="H303" t="s">
        <v>28</v>
      </c>
      <c r="I303" t="s">
        <v>863</v>
      </c>
    </row>
    <row r="304" customHeight="1" spans="1:9">
      <c r="A304" t="s">
        <v>2265</v>
      </c>
      <c r="B304" t="s">
        <v>16</v>
      </c>
      <c r="C304" t="s">
        <v>2998</v>
      </c>
      <c r="D304" t="s">
        <v>2999</v>
      </c>
      <c r="E304" t="s">
        <v>3000</v>
      </c>
      <c r="F304" t="s">
        <v>2613</v>
      </c>
      <c r="G304" t="s">
        <v>28</v>
      </c>
      <c r="H304" t="s">
        <v>28</v>
      </c>
      <c r="I304" t="s">
        <v>863</v>
      </c>
    </row>
    <row r="305" customHeight="1" spans="1:9">
      <c r="A305" t="s">
        <v>2265</v>
      </c>
      <c r="B305" t="s">
        <v>16</v>
      </c>
      <c r="C305" t="s">
        <v>2429</v>
      </c>
      <c r="D305" t="s">
        <v>2430</v>
      </c>
      <c r="E305" t="s">
        <v>2431</v>
      </c>
      <c r="F305" t="s">
        <v>2399</v>
      </c>
      <c r="G305" t="s">
        <v>28</v>
      </c>
      <c r="H305" t="s">
        <v>28</v>
      </c>
      <c r="I305" t="s">
        <v>863</v>
      </c>
    </row>
    <row r="306" customHeight="1" spans="1:9">
      <c r="A306" t="s">
        <v>2265</v>
      </c>
      <c r="B306" t="s">
        <v>16</v>
      </c>
      <c r="C306" t="s">
        <v>28</v>
      </c>
      <c r="D306" t="s">
        <v>2452</v>
      </c>
      <c r="E306" t="s">
        <v>2453</v>
      </c>
      <c r="F306" t="s">
        <v>2269</v>
      </c>
      <c r="G306" t="s">
        <v>28</v>
      </c>
      <c r="H306" t="s">
        <v>28</v>
      </c>
      <c r="I306" t="s">
        <v>863</v>
      </c>
    </row>
    <row r="307" customHeight="1" spans="1:9">
      <c r="A307" t="s">
        <v>2265</v>
      </c>
      <c r="B307" t="s">
        <v>16</v>
      </c>
      <c r="C307" t="s">
        <v>2457</v>
      </c>
      <c r="D307" t="s">
        <v>2458</v>
      </c>
      <c r="E307" t="s">
        <v>2459</v>
      </c>
      <c r="F307" t="s">
        <v>2460</v>
      </c>
      <c r="G307" t="s">
        <v>28</v>
      </c>
      <c r="H307" t="s">
        <v>28</v>
      </c>
      <c r="I307" t="s">
        <v>863</v>
      </c>
    </row>
    <row r="308" customHeight="1" spans="1:9">
      <c r="A308" t="s">
        <v>2265</v>
      </c>
      <c r="B308" t="s">
        <v>16</v>
      </c>
      <c r="C308" t="s">
        <v>3001</v>
      </c>
      <c r="D308" t="s">
        <v>3002</v>
      </c>
      <c r="E308" t="s">
        <v>3003</v>
      </c>
      <c r="F308" t="s">
        <v>585</v>
      </c>
      <c r="G308" t="s">
        <v>28</v>
      </c>
      <c r="H308" t="s">
        <v>28</v>
      </c>
      <c r="I308" t="s">
        <v>863</v>
      </c>
    </row>
    <row r="309" customHeight="1" spans="1:9">
      <c r="A309" t="s">
        <v>2265</v>
      </c>
      <c r="B309" t="s">
        <v>16</v>
      </c>
      <c r="C309" t="s">
        <v>3004</v>
      </c>
      <c r="D309" t="s">
        <v>3005</v>
      </c>
      <c r="E309" t="s">
        <v>3006</v>
      </c>
      <c r="F309" t="s">
        <v>585</v>
      </c>
      <c r="G309" t="s">
        <v>28</v>
      </c>
      <c r="H309" t="s">
        <v>28</v>
      </c>
      <c r="I309" t="s">
        <v>863</v>
      </c>
    </row>
    <row r="310" customHeight="1" spans="1:9">
      <c r="A310" t="s">
        <v>2265</v>
      </c>
      <c r="B310" t="s">
        <v>16</v>
      </c>
      <c r="C310" t="s">
        <v>3007</v>
      </c>
      <c r="D310" t="s">
        <v>3008</v>
      </c>
      <c r="E310" t="s">
        <v>3009</v>
      </c>
      <c r="F310" t="s">
        <v>585</v>
      </c>
      <c r="G310" t="s">
        <v>28</v>
      </c>
      <c r="H310" t="s">
        <v>28</v>
      </c>
      <c r="I310" t="s">
        <v>863</v>
      </c>
    </row>
    <row r="311" customHeight="1" spans="1:9">
      <c r="A311" t="s">
        <v>2265</v>
      </c>
      <c r="B311" t="s">
        <v>16</v>
      </c>
      <c r="C311" t="s">
        <v>3010</v>
      </c>
      <c r="D311" t="s">
        <v>3011</v>
      </c>
      <c r="E311" t="s">
        <v>3012</v>
      </c>
      <c r="F311" t="s">
        <v>585</v>
      </c>
      <c r="G311" t="s">
        <v>28</v>
      </c>
      <c r="H311" t="s">
        <v>28</v>
      </c>
      <c r="I311" t="s">
        <v>863</v>
      </c>
    </row>
    <row r="312" customHeight="1" spans="1:9">
      <c r="A312" t="s">
        <v>2265</v>
      </c>
      <c r="B312" t="s">
        <v>16</v>
      </c>
      <c r="C312" t="s">
        <v>2477</v>
      </c>
      <c r="D312" t="s">
        <v>2478</v>
      </c>
      <c r="E312" t="s">
        <v>2413</v>
      </c>
      <c r="F312" t="s">
        <v>2479</v>
      </c>
      <c r="G312" t="s">
        <v>28</v>
      </c>
      <c r="H312" t="s">
        <v>28</v>
      </c>
      <c r="I312" t="s">
        <v>863</v>
      </c>
    </row>
    <row r="313" customHeight="1" spans="1:9">
      <c r="A313" t="s">
        <v>2265</v>
      </c>
      <c r="B313" t="s">
        <v>16</v>
      </c>
      <c r="C313" t="s">
        <v>2480</v>
      </c>
      <c r="D313" t="s">
        <v>2481</v>
      </c>
      <c r="E313" t="s">
        <v>2413</v>
      </c>
      <c r="F313" t="s">
        <v>2482</v>
      </c>
      <c r="G313" t="s">
        <v>28</v>
      </c>
      <c r="H313" t="s">
        <v>28</v>
      </c>
      <c r="I313" t="s">
        <v>863</v>
      </c>
    </row>
    <row r="314" customHeight="1" spans="1:9">
      <c r="A314" t="s">
        <v>2265</v>
      </c>
      <c r="B314" t="s">
        <v>16</v>
      </c>
      <c r="C314" t="s">
        <v>3013</v>
      </c>
      <c r="D314" t="s">
        <v>3014</v>
      </c>
      <c r="E314" t="s">
        <v>3015</v>
      </c>
      <c r="F314" t="s">
        <v>3016</v>
      </c>
      <c r="G314" t="s">
        <v>28</v>
      </c>
      <c r="H314" t="s">
        <v>28</v>
      </c>
      <c r="I314" t="s">
        <v>863</v>
      </c>
    </row>
    <row r="315" customHeight="1" spans="1:9">
      <c r="A315" t="s">
        <v>2265</v>
      </c>
      <c r="B315" t="s">
        <v>16</v>
      </c>
      <c r="C315" t="s">
        <v>2486</v>
      </c>
      <c r="D315" t="s">
        <v>2487</v>
      </c>
      <c r="E315" t="s">
        <v>2424</v>
      </c>
      <c r="F315" t="s">
        <v>2488</v>
      </c>
      <c r="G315" t="s">
        <v>28</v>
      </c>
      <c r="H315" t="s">
        <v>28</v>
      </c>
      <c r="I315" t="s">
        <v>863</v>
      </c>
    </row>
    <row r="316" customHeight="1" spans="1:9">
      <c r="A316" t="s">
        <v>2265</v>
      </c>
      <c r="B316" t="s">
        <v>16</v>
      </c>
      <c r="C316" t="s">
        <v>2489</v>
      </c>
      <c r="D316" t="s">
        <v>2490</v>
      </c>
      <c r="E316" t="s">
        <v>2459</v>
      </c>
      <c r="F316" t="s">
        <v>2491</v>
      </c>
      <c r="G316" t="s">
        <v>28</v>
      </c>
      <c r="H316" t="s">
        <v>28</v>
      </c>
      <c r="I316" t="s">
        <v>863</v>
      </c>
    </row>
    <row r="317" customHeight="1" spans="1:9">
      <c r="A317" t="s">
        <v>2265</v>
      </c>
      <c r="B317" t="s">
        <v>16</v>
      </c>
      <c r="C317" t="s">
        <v>2492</v>
      </c>
      <c r="D317" t="s">
        <v>2493</v>
      </c>
      <c r="E317" t="s">
        <v>2494</v>
      </c>
      <c r="F317" t="s">
        <v>2495</v>
      </c>
      <c r="G317" t="s">
        <v>28</v>
      </c>
      <c r="H317" t="s">
        <v>28</v>
      </c>
      <c r="I317" t="s">
        <v>863</v>
      </c>
    </row>
    <row r="318" customHeight="1" spans="1:9">
      <c r="A318" t="s">
        <v>2265</v>
      </c>
      <c r="B318" t="s">
        <v>16</v>
      </c>
      <c r="C318" t="s">
        <v>2496</v>
      </c>
      <c r="D318" t="s">
        <v>2497</v>
      </c>
      <c r="E318" t="s">
        <v>2498</v>
      </c>
      <c r="F318" t="s">
        <v>2499</v>
      </c>
      <c r="G318" t="s">
        <v>28</v>
      </c>
      <c r="H318" t="s">
        <v>28</v>
      </c>
      <c r="I318" t="s">
        <v>863</v>
      </c>
    </row>
    <row r="319" customHeight="1" spans="1:9">
      <c r="A319" t="s">
        <v>2265</v>
      </c>
      <c r="B319" t="s">
        <v>16</v>
      </c>
      <c r="C319" t="s">
        <v>2500</v>
      </c>
      <c r="D319" t="s">
        <v>2501</v>
      </c>
      <c r="E319" t="s">
        <v>2502</v>
      </c>
      <c r="F319" t="s">
        <v>2503</v>
      </c>
      <c r="G319" t="s">
        <v>28</v>
      </c>
      <c r="H319" t="s">
        <v>28</v>
      </c>
      <c r="I319" t="s">
        <v>863</v>
      </c>
    </row>
    <row r="320" customHeight="1" spans="1:9">
      <c r="A320" t="s">
        <v>2265</v>
      </c>
      <c r="B320" t="s">
        <v>16</v>
      </c>
      <c r="C320" t="s">
        <v>2508</v>
      </c>
      <c r="D320" t="s">
        <v>2509</v>
      </c>
      <c r="E320" t="s">
        <v>2510</v>
      </c>
      <c r="F320" t="s">
        <v>2301</v>
      </c>
      <c r="G320" t="s">
        <v>28</v>
      </c>
      <c r="H320" t="s">
        <v>28</v>
      </c>
      <c r="I320" t="s">
        <v>863</v>
      </c>
    </row>
    <row r="321" customHeight="1" spans="1:9">
      <c r="A321" t="s">
        <v>2265</v>
      </c>
      <c r="B321" t="s">
        <v>16</v>
      </c>
      <c r="C321" t="s">
        <v>3017</v>
      </c>
      <c r="D321" t="s">
        <v>3018</v>
      </c>
      <c r="E321" t="s">
        <v>3019</v>
      </c>
      <c r="F321" t="s">
        <v>2599</v>
      </c>
      <c r="G321" t="s">
        <v>28</v>
      </c>
      <c r="H321" t="s">
        <v>28</v>
      </c>
      <c r="I321" t="s">
        <v>863</v>
      </c>
    </row>
    <row r="322" customHeight="1" spans="1:9">
      <c r="A322" t="s">
        <v>2265</v>
      </c>
      <c r="B322" t="s">
        <v>16</v>
      </c>
      <c r="C322" t="s">
        <v>2511</v>
      </c>
      <c r="D322" t="s">
        <v>2512</v>
      </c>
      <c r="E322" t="s">
        <v>2513</v>
      </c>
      <c r="F322" t="s">
        <v>2514</v>
      </c>
      <c r="G322" t="s">
        <v>28</v>
      </c>
      <c r="H322" t="s">
        <v>28</v>
      </c>
      <c r="I322" t="s">
        <v>863</v>
      </c>
    </row>
    <row r="323" customHeight="1" spans="1:9">
      <c r="A323" t="s">
        <v>2265</v>
      </c>
      <c r="B323" t="s">
        <v>16</v>
      </c>
      <c r="C323" t="s">
        <v>2515</v>
      </c>
      <c r="D323" t="s">
        <v>2516</v>
      </c>
      <c r="E323" t="s">
        <v>2517</v>
      </c>
      <c r="F323" t="s">
        <v>2340</v>
      </c>
      <c r="G323" t="s">
        <v>28</v>
      </c>
      <c r="H323" t="s">
        <v>28</v>
      </c>
      <c r="I323" t="s">
        <v>863</v>
      </c>
    </row>
    <row r="324" customHeight="1" spans="1:9">
      <c r="A324" t="s">
        <v>2265</v>
      </c>
      <c r="B324" t="s">
        <v>16</v>
      </c>
      <c r="C324" t="s">
        <v>3020</v>
      </c>
      <c r="D324" t="s">
        <v>3021</v>
      </c>
      <c r="E324" t="s">
        <v>3022</v>
      </c>
      <c r="F324" t="s">
        <v>2384</v>
      </c>
      <c r="G324" t="s">
        <v>28</v>
      </c>
      <c r="H324" t="s">
        <v>28</v>
      </c>
      <c r="I324" t="s">
        <v>863</v>
      </c>
    </row>
    <row r="325" customHeight="1" spans="1:9">
      <c r="A325" t="s">
        <v>2265</v>
      </c>
      <c r="B325" t="s">
        <v>16</v>
      </c>
      <c r="C325" t="s">
        <v>3023</v>
      </c>
      <c r="D325" t="s">
        <v>3024</v>
      </c>
      <c r="E325" t="s">
        <v>3025</v>
      </c>
      <c r="F325" t="s">
        <v>53</v>
      </c>
      <c r="G325" t="s">
        <v>3026</v>
      </c>
      <c r="H325" t="s">
        <v>28</v>
      </c>
      <c r="I325" t="s">
        <v>863</v>
      </c>
    </row>
    <row r="326" customHeight="1" spans="1:9">
      <c r="A326" t="s">
        <v>2265</v>
      </c>
      <c r="B326" t="s">
        <v>16</v>
      </c>
      <c r="C326" t="s">
        <v>3027</v>
      </c>
      <c r="D326" t="s">
        <v>3028</v>
      </c>
      <c r="E326" t="s">
        <v>3029</v>
      </c>
      <c r="F326" t="s">
        <v>2273</v>
      </c>
      <c r="G326" t="s">
        <v>28</v>
      </c>
      <c r="H326" t="s">
        <v>28</v>
      </c>
      <c r="I326" t="s">
        <v>863</v>
      </c>
    </row>
    <row r="327" customHeight="1" spans="1:9">
      <c r="A327" t="s">
        <v>2265</v>
      </c>
      <c r="B327" t="s">
        <v>16</v>
      </c>
      <c r="C327" t="s">
        <v>2518</v>
      </c>
      <c r="D327" t="s">
        <v>2519</v>
      </c>
      <c r="E327" t="s">
        <v>2520</v>
      </c>
      <c r="F327" t="s">
        <v>2521</v>
      </c>
      <c r="G327" t="s">
        <v>28</v>
      </c>
      <c r="H327" t="s">
        <v>28</v>
      </c>
      <c r="I327" t="s">
        <v>863</v>
      </c>
    </row>
    <row r="328" customHeight="1" spans="1:9">
      <c r="A328" t="s">
        <v>2265</v>
      </c>
      <c r="B328" t="s">
        <v>16</v>
      </c>
      <c r="C328" t="s">
        <v>2522</v>
      </c>
      <c r="D328" t="s">
        <v>2523</v>
      </c>
      <c r="E328" t="s">
        <v>2524</v>
      </c>
      <c r="F328" t="s">
        <v>2525</v>
      </c>
      <c r="G328" t="s">
        <v>28</v>
      </c>
      <c r="H328" t="s">
        <v>28</v>
      </c>
      <c r="I328" t="s">
        <v>863</v>
      </c>
    </row>
    <row r="329" customHeight="1" spans="1:9">
      <c r="A329" t="s">
        <v>2265</v>
      </c>
      <c r="B329" t="s">
        <v>16</v>
      </c>
      <c r="C329" t="s">
        <v>3030</v>
      </c>
      <c r="D329" t="s">
        <v>3031</v>
      </c>
      <c r="E329" t="s">
        <v>3032</v>
      </c>
      <c r="F329" t="s">
        <v>2830</v>
      </c>
      <c r="G329" t="s">
        <v>2633</v>
      </c>
      <c r="H329" t="s">
        <v>28</v>
      </c>
      <c r="I329" t="s">
        <v>863</v>
      </c>
    </row>
    <row r="330" customHeight="1" spans="1:9">
      <c r="A330" t="s">
        <v>2265</v>
      </c>
      <c r="B330" t="s">
        <v>16</v>
      </c>
      <c r="C330" t="s">
        <v>3033</v>
      </c>
      <c r="D330" t="s">
        <v>3034</v>
      </c>
      <c r="E330" t="s">
        <v>3035</v>
      </c>
      <c r="F330" t="s">
        <v>2728</v>
      </c>
      <c r="G330" t="s">
        <v>28</v>
      </c>
      <c r="H330" t="s">
        <v>28</v>
      </c>
      <c r="I330" t="s">
        <v>863</v>
      </c>
    </row>
    <row r="331" customHeight="1" spans="1:9">
      <c r="A331" t="s">
        <v>2265</v>
      </c>
      <c r="B331" t="s">
        <v>16</v>
      </c>
      <c r="C331" t="s">
        <v>2526</v>
      </c>
      <c r="D331" t="s">
        <v>2527</v>
      </c>
      <c r="E331" t="s">
        <v>2528</v>
      </c>
      <c r="F331" t="s">
        <v>2495</v>
      </c>
      <c r="G331" t="s">
        <v>28</v>
      </c>
      <c r="H331" t="s">
        <v>28</v>
      </c>
      <c r="I331" t="s">
        <v>863</v>
      </c>
    </row>
    <row r="332" customHeight="1" spans="1:9">
      <c r="A332" t="s">
        <v>2265</v>
      </c>
      <c r="B332" t="s">
        <v>16</v>
      </c>
      <c r="C332" t="s">
        <v>3036</v>
      </c>
      <c r="D332" t="s">
        <v>3037</v>
      </c>
      <c r="E332" t="s">
        <v>3038</v>
      </c>
      <c r="F332" t="s">
        <v>2536</v>
      </c>
      <c r="G332" t="s">
        <v>28</v>
      </c>
      <c r="H332" t="s">
        <v>28</v>
      </c>
      <c r="I332" t="s">
        <v>863</v>
      </c>
    </row>
    <row r="333" customHeight="1" spans="1:9">
      <c r="A333" t="s">
        <v>2265</v>
      </c>
      <c r="B333" t="s">
        <v>16</v>
      </c>
      <c r="C333" t="s">
        <v>2529</v>
      </c>
      <c r="D333" t="s">
        <v>2530</v>
      </c>
      <c r="E333" t="s">
        <v>2531</v>
      </c>
      <c r="F333" t="s">
        <v>2532</v>
      </c>
      <c r="G333" t="s">
        <v>28</v>
      </c>
      <c r="H333" t="s">
        <v>28</v>
      </c>
      <c r="I333" t="s">
        <v>863</v>
      </c>
    </row>
    <row r="334" customHeight="1" spans="1:9">
      <c r="A334" t="s">
        <v>2265</v>
      </c>
      <c r="B334" t="s">
        <v>16</v>
      </c>
      <c r="C334" t="s">
        <v>2533</v>
      </c>
      <c r="D334" t="s">
        <v>2534</v>
      </c>
      <c r="E334" t="s">
        <v>2535</v>
      </c>
      <c r="F334" t="s">
        <v>2536</v>
      </c>
      <c r="G334" t="s">
        <v>28</v>
      </c>
      <c r="H334" t="s">
        <v>28</v>
      </c>
      <c r="I334" t="s">
        <v>863</v>
      </c>
    </row>
    <row r="335" customHeight="1" spans="1:9">
      <c r="A335" t="s">
        <v>2265</v>
      </c>
      <c r="B335" t="s">
        <v>16</v>
      </c>
      <c r="C335" t="s">
        <v>2540</v>
      </c>
      <c r="D335" t="s">
        <v>2541</v>
      </c>
      <c r="E335" t="s">
        <v>2542</v>
      </c>
      <c r="F335" t="s">
        <v>2277</v>
      </c>
      <c r="G335" t="s">
        <v>28</v>
      </c>
      <c r="H335" t="s">
        <v>28</v>
      </c>
      <c r="I335" t="s">
        <v>863</v>
      </c>
    </row>
    <row r="336" customHeight="1" spans="1:9">
      <c r="A336" t="s">
        <v>2265</v>
      </c>
      <c r="B336" t="s">
        <v>16</v>
      </c>
      <c r="C336" t="s">
        <v>2547</v>
      </c>
      <c r="D336" t="s">
        <v>2548</v>
      </c>
      <c r="E336" t="s">
        <v>2549</v>
      </c>
      <c r="F336" t="s">
        <v>2550</v>
      </c>
      <c r="G336" t="s">
        <v>28</v>
      </c>
      <c r="H336" t="s">
        <v>28</v>
      </c>
      <c r="I336" t="s">
        <v>863</v>
      </c>
    </row>
    <row r="337" customHeight="1" spans="1:9">
      <c r="A337" t="s">
        <v>2265</v>
      </c>
      <c r="B337" t="s">
        <v>16</v>
      </c>
      <c r="C337" t="s">
        <v>2556</v>
      </c>
      <c r="D337" t="s">
        <v>2557</v>
      </c>
      <c r="E337" t="s">
        <v>2558</v>
      </c>
      <c r="F337" t="s">
        <v>2470</v>
      </c>
      <c r="G337" t="s">
        <v>2559</v>
      </c>
      <c r="H337" t="s">
        <v>28</v>
      </c>
      <c r="I337" t="s">
        <v>863</v>
      </c>
    </row>
    <row r="338" customHeight="1" spans="1:9">
      <c r="A338" t="s">
        <v>2265</v>
      </c>
      <c r="B338" t="s">
        <v>16</v>
      </c>
      <c r="C338" t="s">
        <v>2563</v>
      </c>
      <c r="D338" t="s">
        <v>2564</v>
      </c>
      <c r="E338" t="s">
        <v>2409</v>
      </c>
      <c r="F338" t="s">
        <v>2565</v>
      </c>
      <c r="G338" t="s">
        <v>28</v>
      </c>
      <c r="H338" t="s">
        <v>28</v>
      </c>
      <c r="I338" t="s">
        <v>863</v>
      </c>
    </row>
    <row r="339" customHeight="1" spans="1:9">
      <c r="A339" t="s">
        <v>2265</v>
      </c>
      <c r="B339" t="s">
        <v>16</v>
      </c>
      <c r="C339" t="s">
        <v>3039</v>
      </c>
      <c r="D339" t="s">
        <v>3040</v>
      </c>
      <c r="E339" t="s">
        <v>3041</v>
      </c>
      <c r="F339" t="s">
        <v>2653</v>
      </c>
      <c r="G339" t="s">
        <v>28</v>
      </c>
      <c r="H339" t="s">
        <v>28</v>
      </c>
      <c r="I339" t="s">
        <v>863</v>
      </c>
    </row>
    <row r="340" customHeight="1" spans="1:9">
      <c r="A340" t="s">
        <v>2265</v>
      </c>
      <c r="B340" t="s">
        <v>16</v>
      </c>
      <c r="C340" t="s">
        <v>2569</v>
      </c>
      <c r="D340" t="s">
        <v>2570</v>
      </c>
      <c r="E340" t="s">
        <v>2571</v>
      </c>
      <c r="F340" t="s">
        <v>2376</v>
      </c>
      <c r="G340" t="s">
        <v>28</v>
      </c>
      <c r="H340" t="s">
        <v>28</v>
      </c>
      <c r="I340" t="s">
        <v>863</v>
      </c>
    </row>
    <row r="341" customHeight="1" spans="1:9">
      <c r="A341" t="s">
        <v>2265</v>
      </c>
      <c r="B341" t="s">
        <v>16</v>
      </c>
      <c r="C341" t="s">
        <v>3042</v>
      </c>
      <c r="D341" t="s">
        <v>3043</v>
      </c>
      <c r="E341" t="s">
        <v>3044</v>
      </c>
      <c r="F341" t="s">
        <v>2269</v>
      </c>
      <c r="G341" t="s">
        <v>28</v>
      </c>
      <c r="H341" t="s">
        <v>28</v>
      </c>
      <c r="I341" t="s">
        <v>863</v>
      </c>
    </row>
    <row r="342" customHeight="1" spans="1:9">
      <c r="A342" t="s">
        <v>2265</v>
      </c>
      <c r="B342" t="s">
        <v>16</v>
      </c>
      <c r="C342" t="s">
        <v>3045</v>
      </c>
      <c r="D342" t="s">
        <v>3046</v>
      </c>
      <c r="E342" t="s">
        <v>3047</v>
      </c>
      <c r="F342" t="s">
        <v>2351</v>
      </c>
      <c r="G342" t="s">
        <v>3048</v>
      </c>
      <c r="H342" t="s">
        <v>28</v>
      </c>
      <c r="I342" t="s">
        <v>863</v>
      </c>
    </row>
    <row r="343" customHeight="1" spans="1:9">
      <c r="A343" t="s">
        <v>2265</v>
      </c>
      <c r="B343" t="s">
        <v>16</v>
      </c>
      <c r="C343" t="s">
        <v>2580</v>
      </c>
      <c r="D343" t="s">
        <v>2581</v>
      </c>
      <c r="E343" t="s">
        <v>2582</v>
      </c>
      <c r="F343" t="s">
        <v>2470</v>
      </c>
      <c r="G343" t="s">
        <v>28</v>
      </c>
      <c r="H343" t="s">
        <v>28</v>
      </c>
      <c r="I343" t="s">
        <v>863</v>
      </c>
    </row>
    <row r="344" customHeight="1" spans="1:9">
      <c r="A344" t="s">
        <v>2265</v>
      </c>
      <c r="B344" t="s">
        <v>16</v>
      </c>
      <c r="C344" t="s">
        <v>2583</v>
      </c>
      <c r="D344" t="s">
        <v>2584</v>
      </c>
      <c r="E344" t="s">
        <v>2585</v>
      </c>
      <c r="F344" t="s">
        <v>2297</v>
      </c>
      <c r="G344" t="s">
        <v>28</v>
      </c>
      <c r="H344" t="s">
        <v>28</v>
      </c>
      <c r="I344" t="s">
        <v>863</v>
      </c>
    </row>
    <row r="345" customHeight="1" spans="1:9">
      <c r="A345" t="s">
        <v>2265</v>
      </c>
      <c r="B345" t="s">
        <v>16</v>
      </c>
      <c r="C345" t="s">
        <v>2586</v>
      </c>
      <c r="D345" t="s">
        <v>2587</v>
      </c>
      <c r="E345" t="s">
        <v>2588</v>
      </c>
      <c r="F345" t="s">
        <v>2525</v>
      </c>
      <c r="G345" t="s">
        <v>28</v>
      </c>
      <c r="H345" t="s">
        <v>28</v>
      </c>
      <c r="I345" t="s">
        <v>863</v>
      </c>
    </row>
    <row r="346" customHeight="1" spans="1:9">
      <c r="A346" t="s">
        <v>2265</v>
      </c>
      <c r="B346" t="s">
        <v>16</v>
      </c>
      <c r="C346" t="s">
        <v>2589</v>
      </c>
      <c r="D346" t="s">
        <v>2590</v>
      </c>
      <c r="E346" t="s">
        <v>2591</v>
      </c>
      <c r="F346" t="s">
        <v>2470</v>
      </c>
      <c r="G346" t="s">
        <v>28</v>
      </c>
      <c r="H346" t="s">
        <v>28</v>
      </c>
      <c r="I346" t="s">
        <v>863</v>
      </c>
    </row>
    <row r="347" customHeight="1" spans="1:9">
      <c r="A347" t="s">
        <v>2265</v>
      </c>
      <c r="B347" t="s">
        <v>16</v>
      </c>
      <c r="C347" t="s">
        <v>3049</v>
      </c>
      <c r="D347" t="s">
        <v>3050</v>
      </c>
      <c r="E347" t="s">
        <v>3051</v>
      </c>
      <c r="F347" t="s">
        <v>2269</v>
      </c>
      <c r="G347" t="s">
        <v>28</v>
      </c>
      <c r="H347" t="s">
        <v>28</v>
      </c>
      <c r="I347" t="s">
        <v>863</v>
      </c>
    </row>
    <row r="348" customHeight="1" spans="1:9">
      <c r="A348" t="s">
        <v>2265</v>
      </c>
      <c r="B348" t="s">
        <v>16</v>
      </c>
      <c r="C348" t="s">
        <v>2592</v>
      </c>
      <c r="D348" t="s">
        <v>2593</v>
      </c>
      <c r="E348" t="s">
        <v>2594</v>
      </c>
      <c r="F348" t="s">
        <v>2595</v>
      </c>
      <c r="G348" t="s">
        <v>28</v>
      </c>
      <c r="H348" t="s">
        <v>28</v>
      </c>
      <c r="I348" t="s">
        <v>863</v>
      </c>
    </row>
    <row r="349" customHeight="1" spans="1:9">
      <c r="A349" t="s">
        <v>2265</v>
      </c>
      <c r="B349" t="s">
        <v>16</v>
      </c>
      <c r="C349" t="s">
        <v>3052</v>
      </c>
      <c r="D349" t="s">
        <v>3053</v>
      </c>
      <c r="E349" t="s">
        <v>3054</v>
      </c>
      <c r="F349" t="s">
        <v>2269</v>
      </c>
      <c r="G349" t="s">
        <v>28</v>
      </c>
      <c r="H349" t="s">
        <v>28</v>
      </c>
      <c r="I349" t="s">
        <v>863</v>
      </c>
    </row>
    <row r="350" customHeight="1" spans="1:9">
      <c r="A350" t="s">
        <v>2265</v>
      </c>
      <c r="B350" t="s">
        <v>16</v>
      </c>
      <c r="C350" t="s">
        <v>3055</v>
      </c>
      <c r="D350" t="s">
        <v>3056</v>
      </c>
      <c r="E350" t="s">
        <v>3057</v>
      </c>
      <c r="F350" t="s">
        <v>2273</v>
      </c>
      <c r="G350" t="s">
        <v>28</v>
      </c>
      <c r="H350" t="s">
        <v>28</v>
      </c>
      <c r="I350" t="s">
        <v>863</v>
      </c>
    </row>
    <row r="351" customHeight="1" spans="1:9">
      <c r="A351" t="s">
        <v>2265</v>
      </c>
      <c r="B351" t="s">
        <v>16</v>
      </c>
      <c r="C351" t="s">
        <v>3058</v>
      </c>
      <c r="D351" t="s">
        <v>3059</v>
      </c>
      <c r="E351" t="s">
        <v>3060</v>
      </c>
      <c r="F351" t="s">
        <v>2554</v>
      </c>
      <c r="G351" t="s">
        <v>3061</v>
      </c>
      <c r="H351" t="s">
        <v>28</v>
      </c>
      <c r="I351" t="s">
        <v>863</v>
      </c>
    </row>
    <row r="352" customHeight="1" spans="1:9">
      <c r="A352" t="s">
        <v>2265</v>
      </c>
      <c r="B352" t="s">
        <v>16</v>
      </c>
      <c r="C352" t="s">
        <v>3062</v>
      </c>
      <c r="D352" t="s">
        <v>3063</v>
      </c>
      <c r="E352" t="s">
        <v>3064</v>
      </c>
      <c r="F352" t="s">
        <v>2532</v>
      </c>
      <c r="G352" t="s">
        <v>28</v>
      </c>
      <c r="H352" t="s">
        <v>28</v>
      </c>
      <c r="I352" t="s">
        <v>863</v>
      </c>
    </row>
    <row r="353" customHeight="1" spans="1:9">
      <c r="A353" t="s">
        <v>2265</v>
      </c>
      <c r="B353" t="s">
        <v>16</v>
      </c>
      <c r="C353" t="s">
        <v>3065</v>
      </c>
      <c r="D353" t="s">
        <v>3066</v>
      </c>
      <c r="E353" t="s">
        <v>3067</v>
      </c>
      <c r="F353" t="s">
        <v>2273</v>
      </c>
      <c r="G353" t="s">
        <v>28</v>
      </c>
      <c r="H353" t="s">
        <v>28</v>
      </c>
      <c r="I353" t="s">
        <v>863</v>
      </c>
    </row>
    <row r="354" customHeight="1" spans="1:9">
      <c r="A354" t="s">
        <v>2265</v>
      </c>
      <c r="B354" t="s">
        <v>16</v>
      </c>
      <c r="C354" t="s">
        <v>3068</v>
      </c>
      <c r="D354" t="s">
        <v>3069</v>
      </c>
      <c r="E354" t="s">
        <v>3070</v>
      </c>
      <c r="F354" t="s">
        <v>3071</v>
      </c>
      <c r="G354" t="s">
        <v>3072</v>
      </c>
      <c r="H354" t="s">
        <v>28</v>
      </c>
      <c r="I354" t="s">
        <v>863</v>
      </c>
    </row>
    <row r="355" customHeight="1" spans="1:9">
      <c r="A355" t="s">
        <v>2265</v>
      </c>
      <c r="B355" t="s">
        <v>16</v>
      </c>
      <c r="C355" t="s">
        <v>2620</v>
      </c>
      <c r="D355" t="s">
        <v>2621</v>
      </c>
      <c r="E355" t="s">
        <v>2622</v>
      </c>
      <c r="F355" t="s">
        <v>2301</v>
      </c>
      <c r="G355" t="s">
        <v>28</v>
      </c>
      <c r="H355" t="s">
        <v>28</v>
      </c>
      <c r="I355" t="s">
        <v>863</v>
      </c>
    </row>
    <row r="356" customHeight="1" spans="1:9">
      <c r="A356" t="s">
        <v>2265</v>
      </c>
      <c r="B356" t="s">
        <v>16</v>
      </c>
      <c r="C356" t="s">
        <v>3073</v>
      </c>
      <c r="D356" t="s">
        <v>3074</v>
      </c>
      <c r="E356" t="s">
        <v>3075</v>
      </c>
      <c r="F356" t="s">
        <v>2305</v>
      </c>
      <c r="G356" t="s">
        <v>28</v>
      </c>
      <c r="H356" t="s">
        <v>28</v>
      </c>
      <c r="I356" t="s">
        <v>863</v>
      </c>
    </row>
    <row r="357" customHeight="1" spans="1:9">
      <c r="A357" t="s">
        <v>2265</v>
      </c>
      <c r="B357" t="s">
        <v>16</v>
      </c>
      <c r="C357" t="s">
        <v>3076</v>
      </c>
      <c r="D357" t="s">
        <v>3077</v>
      </c>
      <c r="E357" t="s">
        <v>3078</v>
      </c>
      <c r="F357" t="s">
        <v>2344</v>
      </c>
      <c r="G357" t="s">
        <v>28</v>
      </c>
      <c r="H357" t="s">
        <v>28</v>
      </c>
      <c r="I357" t="s">
        <v>863</v>
      </c>
    </row>
    <row r="358" customHeight="1" spans="1:9">
      <c r="A358" t="s">
        <v>2265</v>
      </c>
      <c r="B358" t="s">
        <v>16</v>
      </c>
      <c r="C358" t="s">
        <v>3079</v>
      </c>
      <c r="D358" t="s">
        <v>3080</v>
      </c>
      <c r="E358" t="s">
        <v>3081</v>
      </c>
      <c r="F358" t="s">
        <v>2292</v>
      </c>
      <c r="G358" t="s">
        <v>28</v>
      </c>
      <c r="H358" t="s">
        <v>28</v>
      </c>
      <c r="I358" t="s">
        <v>863</v>
      </c>
    </row>
    <row r="359" customHeight="1" spans="1:9">
      <c r="A359" t="s">
        <v>2265</v>
      </c>
      <c r="B359" t="s">
        <v>16</v>
      </c>
      <c r="C359" t="s">
        <v>3082</v>
      </c>
      <c r="D359" t="s">
        <v>3083</v>
      </c>
      <c r="E359" t="s">
        <v>3084</v>
      </c>
      <c r="F359" t="s">
        <v>2340</v>
      </c>
      <c r="G359" t="s">
        <v>28</v>
      </c>
      <c r="H359" t="s">
        <v>28</v>
      </c>
      <c r="I359" t="s">
        <v>863</v>
      </c>
    </row>
    <row r="360" customHeight="1" spans="1:9">
      <c r="A360" t="s">
        <v>2265</v>
      </c>
      <c r="B360" t="s">
        <v>16</v>
      </c>
      <c r="C360" t="s">
        <v>3085</v>
      </c>
      <c r="D360" t="s">
        <v>3086</v>
      </c>
      <c r="E360" t="s">
        <v>3087</v>
      </c>
      <c r="F360" t="s">
        <v>2301</v>
      </c>
      <c r="G360" t="s">
        <v>3088</v>
      </c>
      <c r="H360" t="s">
        <v>28</v>
      </c>
      <c r="I360" t="s">
        <v>863</v>
      </c>
    </row>
    <row r="361" customHeight="1" spans="1:9">
      <c r="A361" t="s">
        <v>2265</v>
      </c>
      <c r="B361" t="s">
        <v>16</v>
      </c>
      <c r="C361" t="s">
        <v>3089</v>
      </c>
      <c r="D361" t="s">
        <v>3090</v>
      </c>
      <c r="E361" t="s">
        <v>3091</v>
      </c>
      <c r="F361" t="s">
        <v>2499</v>
      </c>
      <c r="G361" t="s">
        <v>3092</v>
      </c>
      <c r="H361" t="s">
        <v>28</v>
      </c>
      <c r="I361" t="s">
        <v>863</v>
      </c>
    </row>
    <row r="362" customHeight="1" spans="1:9">
      <c r="A362" t="s">
        <v>2265</v>
      </c>
      <c r="B362" t="s">
        <v>16</v>
      </c>
      <c r="C362" t="s">
        <v>2623</v>
      </c>
      <c r="D362" t="s">
        <v>2624</v>
      </c>
      <c r="E362" t="s">
        <v>2625</v>
      </c>
      <c r="F362" t="s">
        <v>2626</v>
      </c>
      <c r="G362" t="s">
        <v>28</v>
      </c>
      <c r="H362" t="s">
        <v>28</v>
      </c>
      <c r="I362" t="s">
        <v>863</v>
      </c>
    </row>
    <row r="363" customHeight="1" spans="1:9">
      <c r="A363" t="s">
        <v>2265</v>
      </c>
      <c r="B363" t="s">
        <v>16</v>
      </c>
      <c r="C363" t="s">
        <v>3093</v>
      </c>
      <c r="D363" t="s">
        <v>3094</v>
      </c>
      <c r="E363" t="s">
        <v>3095</v>
      </c>
      <c r="F363" t="s">
        <v>2325</v>
      </c>
      <c r="G363" t="s">
        <v>28</v>
      </c>
      <c r="H363" t="s">
        <v>28</v>
      </c>
      <c r="I363" t="s">
        <v>863</v>
      </c>
    </row>
    <row r="364" customHeight="1" spans="1:9">
      <c r="A364" t="s">
        <v>2265</v>
      </c>
      <c r="B364" t="s">
        <v>16</v>
      </c>
      <c r="C364" t="s">
        <v>3096</v>
      </c>
      <c r="D364" t="s">
        <v>3097</v>
      </c>
      <c r="E364" t="s">
        <v>3098</v>
      </c>
      <c r="F364" t="s">
        <v>2653</v>
      </c>
      <c r="G364" t="s">
        <v>28</v>
      </c>
      <c r="H364" t="s">
        <v>28</v>
      </c>
      <c r="I364" t="s">
        <v>863</v>
      </c>
    </row>
    <row r="365" customHeight="1" spans="1:9">
      <c r="A365" t="s">
        <v>2265</v>
      </c>
      <c r="B365" t="s">
        <v>16</v>
      </c>
      <c r="C365" t="s">
        <v>3099</v>
      </c>
      <c r="D365" t="s">
        <v>3097</v>
      </c>
      <c r="E365" t="s">
        <v>3100</v>
      </c>
      <c r="F365" t="s">
        <v>2499</v>
      </c>
      <c r="G365" t="s">
        <v>28</v>
      </c>
      <c r="H365" t="s">
        <v>28</v>
      </c>
      <c r="I365" t="s">
        <v>863</v>
      </c>
    </row>
    <row r="366" customHeight="1" spans="1:9">
      <c r="A366" t="s">
        <v>2265</v>
      </c>
      <c r="B366" t="s">
        <v>16</v>
      </c>
      <c r="C366" t="s">
        <v>3101</v>
      </c>
      <c r="D366" t="s">
        <v>3097</v>
      </c>
      <c r="E366" t="s">
        <v>3102</v>
      </c>
      <c r="F366" t="s">
        <v>2392</v>
      </c>
      <c r="G366" t="s">
        <v>28</v>
      </c>
      <c r="H366" t="s">
        <v>28</v>
      </c>
      <c r="I366" t="s">
        <v>863</v>
      </c>
    </row>
    <row r="367" customHeight="1" spans="1:9">
      <c r="A367" t="s">
        <v>2265</v>
      </c>
      <c r="B367" t="s">
        <v>16</v>
      </c>
      <c r="C367" t="s">
        <v>3103</v>
      </c>
      <c r="D367" t="s">
        <v>3104</v>
      </c>
      <c r="E367" t="s">
        <v>3105</v>
      </c>
      <c r="F367" t="s">
        <v>2595</v>
      </c>
      <c r="G367" t="s">
        <v>28</v>
      </c>
      <c r="H367" t="s">
        <v>28</v>
      </c>
      <c r="I367" t="s">
        <v>863</v>
      </c>
    </row>
    <row r="368" customHeight="1" spans="1:9">
      <c r="A368" t="s">
        <v>2265</v>
      </c>
      <c r="B368" t="s">
        <v>16</v>
      </c>
      <c r="C368" t="s">
        <v>3106</v>
      </c>
      <c r="D368" t="s">
        <v>3107</v>
      </c>
      <c r="E368" t="s">
        <v>3108</v>
      </c>
      <c r="F368" t="s">
        <v>2676</v>
      </c>
      <c r="G368" t="s">
        <v>28</v>
      </c>
      <c r="H368" t="s">
        <v>28</v>
      </c>
      <c r="I368" t="s">
        <v>863</v>
      </c>
    </row>
    <row r="369" customHeight="1" spans="1:9">
      <c r="A369" t="s">
        <v>2265</v>
      </c>
      <c r="B369" t="s">
        <v>16</v>
      </c>
      <c r="C369" t="s">
        <v>3109</v>
      </c>
      <c r="D369" t="s">
        <v>3110</v>
      </c>
      <c r="E369" t="s">
        <v>3111</v>
      </c>
      <c r="F369" t="s">
        <v>2830</v>
      </c>
      <c r="G369" t="s">
        <v>28</v>
      </c>
      <c r="H369" t="s">
        <v>28</v>
      </c>
      <c r="I369" t="s">
        <v>863</v>
      </c>
    </row>
    <row r="370" customHeight="1" spans="1:9">
      <c r="A370" t="s">
        <v>2265</v>
      </c>
      <c r="B370" t="s">
        <v>16</v>
      </c>
      <c r="C370" t="s">
        <v>3112</v>
      </c>
      <c r="D370" t="s">
        <v>3113</v>
      </c>
      <c r="E370" t="s">
        <v>3114</v>
      </c>
      <c r="F370" t="s">
        <v>2273</v>
      </c>
      <c r="G370" t="s">
        <v>28</v>
      </c>
      <c r="H370" t="s">
        <v>28</v>
      </c>
      <c r="I370" t="s">
        <v>863</v>
      </c>
    </row>
    <row r="371" customHeight="1" spans="1:9">
      <c r="A371" t="s">
        <v>2265</v>
      </c>
      <c r="B371" t="s">
        <v>16</v>
      </c>
      <c r="C371" t="s">
        <v>3115</v>
      </c>
      <c r="D371" t="s">
        <v>3116</v>
      </c>
      <c r="E371" t="s">
        <v>3117</v>
      </c>
      <c r="F371" t="s">
        <v>2273</v>
      </c>
      <c r="G371" t="s">
        <v>28</v>
      </c>
      <c r="H371" t="s">
        <v>28</v>
      </c>
      <c r="I371" t="s">
        <v>863</v>
      </c>
    </row>
    <row r="372" customHeight="1" spans="1:9">
      <c r="A372" t="s">
        <v>2265</v>
      </c>
      <c r="B372" t="s">
        <v>16</v>
      </c>
      <c r="C372" t="s">
        <v>3118</v>
      </c>
      <c r="D372" t="s">
        <v>3119</v>
      </c>
      <c r="E372" t="s">
        <v>3120</v>
      </c>
      <c r="F372" t="s">
        <v>3121</v>
      </c>
      <c r="G372" t="s">
        <v>28</v>
      </c>
      <c r="H372" t="s">
        <v>28</v>
      </c>
      <c r="I372" t="s">
        <v>863</v>
      </c>
    </row>
    <row r="373" customHeight="1" spans="1:9">
      <c r="A373" t="s">
        <v>2265</v>
      </c>
      <c r="B373" t="s">
        <v>16</v>
      </c>
      <c r="C373" t="s">
        <v>3122</v>
      </c>
      <c r="D373" t="s">
        <v>3123</v>
      </c>
      <c r="E373" t="s">
        <v>3124</v>
      </c>
      <c r="F373" t="s">
        <v>2532</v>
      </c>
      <c r="G373" t="s">
        <v>28</v>
      </c>
      <c r="H373" t="s">
        <v>28</v>
      </c>
      <c r="I373" t="s">
        <v>863</v>
      </c>
    </row>
    <row r="374" customHeight="1" spans="1:9">
      <c r="A374" t="s">
        <v>2265</v>
      </c>
      <c r="B374" t="s">
        <v>16</v>
      </c>
      <c r="C374" t="s">
        <v>2640</v>
      </c>
      <c r="D374" t="s">
        <v>2641</v>
      </c>
      <c r="E374" t="s">
        <v>2642</v>
      </c>
      <c r="F374" t="s">
        <v>2325</v>
      </c>
      <c r="G374" t="s">
        <v>2643</v>
      </c>
      <c r="H374" t="s">
        <v>28</v>
      </c>
      <c r="I374" t="s">
        <v>863</v>
      </c>
    </row>
    <row r="375" customHeight="1" spans="1:9">
      <c r="A375" t="s">
        <v>2265</v>
      </c>
      <c r="B375" t="s">
        <v>16</v>
      </c>
      <c r="C375" t="s">
        <v>3125</v>
      </c>
      <c r="D375" t="s">
        <v>3126</v>
      </c>
      <c r="E375" t="s">
        <v>3127</v>
      </c>
      <c r="F375" t="s">
        <v>2833</v>
      </c>
      <c r="G375" t="s">
        <v>28</v>
      </c>
      <c r="H375" t="s">
        <v>28</v>
      </c>
      <c r="I375" t="s">
        <v>863</v>
      </c>
    </row>
    <row r="376" customHeight="1" spans="1:9">
      <c r="A376" t="s">
        <v>2265</v>
      </c>
      <c r="B376" t="s">
        <v>16</v>
      </c>
      <c r="C376" t="s">
        <v>3128</v>
      </c>
      <c r="D376" t="s">
        <v>3129</v>
      </c>
      <c r="E376" t="s">
        <v>3130</v>
      </c>
      <c r="F376" t="s">
        <v>53</v>
      </c>
      <c r="G376" t="s">
        <v>3131</v>
      </c>
      <c r="H376" t="s">
        <v>28</v>
      </c>
      <c r="I376" t="s">
        <v>863</v>
      </c>
    </row>
    <row r="377" customHeight="1" spans="1:9">
      <c r="A377" t="s">
        <v>2265</v>
      </c>
      <c r="B377" t="s">
        <v>16</v>
      </c>
      <c r="C377" t="s">
        <v>2647</v>
      </c>
      <c r="D377" t="s">
        <v>2648</v>
      </c>
      <c r="E377" t="s">
        <v>2649</v>
      </c>
      <c r="F377" t="s">
        <v>2532</v>
      </c>
      <c r="G377" t="s">
        <v>28</v>
      </c>
      <c r="H377" t="s">
        <v>28</v>
      </c>
      <c r="I377" t="s">
        <v>863</v>
      </c>
    </row>
    <row r="378" customHeight="1" spans="1:9">
      <c r="A378" t="s">
        <v>2265</v>
      </c>
      <c r="B378" t="s">
        <v>16</v>
      </c>
      <c r="C378" t="s">
        <v>2656</v>
      </c>
      <c r="D378" t="s">
        <v>2657</v>
      </c>
      <c r="E378" t="s">
        <v>2658</v>
      </c>
      <c r="F378" t="s">
        <v>2428</v>
      </c>
      <c r="G378" t="s">
        <v>28</v>
      </c>
      <c r="H378" t="s">
        <v>28</v>
      </c>
      <c r="I378" t="s">
        <v>863</v>
      </c>
    </row>
    <row r="379" customHeight="1" spans="1:9">
      <c r="A379" t="s">
        <v>2265</v>
      </c>
      <c r="B379" t="s">
        <v>16</v>
      </c>
      <c r="C379" t="s">
        <v>2663</v>
      </c>
      <c r="D379" t="s">
        <v>2664</v>
      </c>
      <c r="E379" t="s">
        <v>2665</v>
      </c>
      <c r="F379" t="s">
        <v>2351</v>
      </c>
      <c r="G379" t="s">
        <v>28</v>
      </c>
      <c r="H379" t="s">
        <v>28</v>
      </c>
      <c r="I379" t="s">
        <v>863</v>
      </c>
    </row>
    <row r="380" customHeight="1" spans="1:9">
      <c r="A380" t="s">
        <v>2265</v>
      </c>
      <c r="B380" t="s">
        <v>16</v>
      </c>
      <c r="C380" t="s">
        <v>3132</v>
      </c>
      <c r="D380" t="s">
        <v>3133</v>
      </c>
      <c r="E380" t="s">
        <v>3134</v>
      </c>
      <c r="F380" t="s">
        <v>2728</v>
      </c>
      <c r="G380" t="s">
        <v>28</v>
      </c>
      <c r="H380" t="s">
        <v>28</v>
      </c>
      <c r="I380" t="s">
        <v>863</v>
      </c>
    </row>
    <row r="381" customHeight="1" spans="1:9">
      <c r="A381" t="s">
        <v>2265</v>
      </c>
      <c r="B381" t="s">
        <v>16</v>
      </c>
      <c r="C381" t="s">
        <v>3135</v>
      </c>
      <c r="D381" t="s">
        <v>3136</v>
      </c>
      <c r="E381" t="s">
        <v>3137</v>
      </c>
      <c r="F381" t="s">
        <v>2301</v>
      </c>
      <c r="G381" t="s">
        <v>28</v>
      </c>
      <c r="H381" t="s">
        <v>28</v>
      </c>
      <c r="I381" t="s">
        <v>863</v>
      </c>
    </row>
    <row r="382" customHeight="1" spans="1:9">
      <c r="A382" t="s">
        <v>2265</v>
      </c>
      <c r="B382" t="s">
        <v>16</v>
      </c>
      <c r="C382" t="s">
        <v>3138</v>
      </c>
      <c r="D382" t="s">
        <v>3139</v>
      </c>
      <c r="E382" t="s">
        <v>3140</v>
      </c>
      <c r="F382" t="s">
        <v>2305</v>
      </c>
      <c r="G382" t="s">
        <v>28</v>
      </c>
      <c r="H382" t="s">
        <v>28</v>
      </c>
      <c r="I382" t="s">
        <v>863</v>
      </c>
    </row>
    <row r="383" customHeight="1" spans="1:9">
      <c r="A383" t="s">
        <v>2265</v>
      </c>
      <c r="B383" t="s">
        <v>16</v>
      </c>
      <c r="C383" t="s">
        <v>2686</v>
      </c>
      <c r="D383" t="s">
        <v>2687</v>
      </c>
      <c r="E383" t="s">
        <v>2688</v>
      </c>
      <c r="F383" t="s">
        <v>2689</v>
      </c>
      <c r="G383" t="s">
        <v>28</v>
      </c>
      <c r="H383" t="s">
        <v>28</v>
      </c>
      <c r="I383" t="s">
        <v>863</v>
      </c>
    </row>
    <row r="384" customHeight="1" spans="1:9">
      <c r="A384" t="s">
        <v>2265</v>
      </c>
      <c r="B384" t="s">
        <v>16</v>
      </c>
      <c r="C384" t="s">
        <v>3141</v>
      </c>
      <c r="D384" t="s">
        <v>3142</v>
      </c>
      <c r="E384" t="s">
        <v>3143</v>
      </c>
      <c r="F384" t="s">
        <v>2689</v>
      </c>
      <c r="G384" t="s">
        <v>28</v>
      </c>
      <c r="H384" t="s">
        <v>28</v>
      </c>
      <c r="I384" t="s">
        <v>863</v>
      </c>
    </row>
    <row r="385" customHeight="1" spans="1:9">
      <c r="A385" t="s">
        <v>2265</v>
      </c>
      <c r="B385" t="s">
        <v>16</v>
      </c>
      <c r="C385" t="s">
        <v>2690</v>
      </c>
      <c r="D385" t="s">
        <v>2691</v>
      </c>
      <c r="E385" t="s">
        <v>2692</v>
      </c>
      <c r="F385" t="s">
        <v>2689</v>
      </c>
      <c r="G385" t="s">
        <v>28</v>
      </c>
      <c r="H385" t="s">
        <v>28</v>
      </c>
      <c r="I385" t="s">
        <v>863</v>
      </c>
    </row>
    <row r="386" customHeight="1" spans="1:9">
      <c r="A386" t="s">
        <v>2265</v>
      </c>
      <c r="B386" t="s">
        <v>16</v>
      </c>
      <c r="C386" t="s">
        <v>2693</v>
      </c>
      <c r="D386" t="s">
        <v>2694</v>
      </c>
      <c r="E386" t="s">
        <v>2695</v>
      </c>
      <c r="F386" t="s">
        <v>2536</v>
      </c>
      <c r="G386" t="s">
        <v>28</v>
      </c>
      <c r="H386" t="s">
        <v>28</v>
      </c>
      <c r="I386" t="s">
        <v>863</v>
      </c>
    </row>
    <row r="387" customHeight="1" spans="1:9">
      <c r="A387" t="s">
        <v>2265</v>
      </c>
      <c r="B387" t="s">
        <v>16</v>
      </c>
      <c r="C387" t="s">
        <v>3144</v>
      </c>
      <c r="D387" t="s">
        <v>3145</v>
      </c>
      <c r="E387" t="s">
        <v>3146</v>
      </c>
      <c r="F387" t="s">
        <v>2305</v>
      </c>
      <c r="G387" t="s">
        <v>3147</v>
      </c>
      <c r="H387" t="s">
        <v>28</v>
      </c>
      <c r="I387" t="s">
        <v>863</v>
      </c>
    </row>
    <row r="388" customHeight="1" spans="1:9">
      <c r="A388" t="s">
        <v>2265</v>
      </c>
      <c r="B388" t="s">
        <v>16</v>
      </c>
      <c r="C388" t="s">
        <v>2696</v>
      </c>
      <c r="D388" t="s">
        <v>2697</v>
      </c>
      <c r="E388" t="s">
        <v>2698</v>
      </c>
      <c r="F388" t="s">
        <v>2344</v>
      </c>
      <c r="G388" t="s">
        <v>28</v>
      </c>
      <c r="H388" t="s">
        <v>28</v>
      </c>
      <c r="I388" t="s">
        <v>863</v>
      </c>
    </row>
    <row r="389" customHeight="1" spans="1:9">
      <c r="A389" t="s">
        <v>2265</v>
      </c>
      <c r="B389" t="s">
        <v>16</v>
      </c>
      <c r="C389" t="s">
        <v>2699</v>
      </c>
      <c r="D389" t="s">
        <v>2700</v>
      </c>
      <c r="E389" t="s">
        <v>2701</v>
      </c>
      <c r="F389" t="s">
        <v>2499</v>
      </c>
      <c r="G389" t="s">
        <v>28</v>
      </c>
      <c r="H389" t="s">
        <v>28</v>
      </c>
      <c r="I389" t="s">
        <v>863</v>
      </c>
    </row>
    <row r="390" customHeight="1" spans="1:9">
      <c r="A390" t="s">
        <v>2265</v>
      </c>
      <c r="B390" t="s">
        <v>16</v>
      </c>
      <c r="C390" t="s">
        <v>2702</v>
      </c>
      <c r="D390" t="s">
        <v>2703</v>
      </c>
      <c r="E390" t="s">
        <v>2704</v>
      </c>
      <c r="F390" t="s">
        <v>2705</v>
      </c>
      <c r="G390" t="s">
        <v>2706</v>
      </c>
      <c r="H390" t="s">
        <v>28</v>
      </c>
      <c r="I390" t="s">
        <v>863</v>
      </c>
    </row>
    <row r="391" customHeight="1" spans="1:9">
      <c r="A391" t="s">
        <v>2265</v>
      </c>
      <c r="B391" t="s">
        <v>16</v>
      </c>
      <c r="C391" t="s">
        <v>3148</v>
      </c>
      <c r="D391" t="s">
        <v>3149</v>
      </c>
      <c r="E391" t="s">
        <v>3150</v>
      </c>
      <c r="F391" t="s">
        <v>2325</v>
      </c>
      <c r="G391" t="s">
        <v>28</v>
      </c>
      <c r="H391" t="s">
        <v>28</v>
      </c>
      <c r="I391" t="s">
        <v>863</v>
      </c>
    </row>
    <row r="392" customHeight="1" spans="1:9">
      <c r="A392" t="s">
        <v>2265</v>
      </c>
      <c r="B392" t="s">
        <v>16</v>
      </c>
      <c r="C392" t="s">
        <v>2707</v>
      </c>
      <c r="D392" t="s">
        <v>2708</v>
      </c>
      <c r="E392" t="s">
        <v>2709</v>
      </c>
      <c r="F392" t="s">
        <v>2376</v>
      </c>
      <c r="G392" t="s">
        <v>28</v>
      </c>
      <c r="H392" t="s">
        <v>28</v>
      </c>
      <c r="I392" t="s">
        <v>863</v>
      </c>
    </row>
    <row r="393" customHeight="1" spans="1:9">
      <c r="A393" t="s">
        <v>2265</v>
      </c>
      <c r="B393" t="s">
        <v>16</v>
      </c>
      <c r="C393" t="s">
        <v>3151</v>
      </c>
      <c r="D393" t="s">
        <v>3152</v>
      </c>
      <c r="E393" t="s">
        <v>3153</v>
      </c>
      <c r="F393" t="s">
        <v>2355</v>
      </c>
      <c r="G393" t="s">
        <v>28</v>
      </c>
      <c r="H393" t="s">
        <v>28</v>
      </c>
      <c r="I393" t="s">
        <v>863</v>
      </c>
    </row>
    <row r="394" customHeight="1" spans="1:9">
      <c r="A394" t="s">
        <v>2265</v>
      </c>
      <c r="B394" t="s">
        <v>16</v>
      </c>
      <c r="C394" t="s">
        <v>2716</v>
      </c>
      <c r="D394" t="s">
        <v>2717</v>
      </c>
      <c r="E394" t="s">
        <v>2718</v>
      </c>
      <c r="F394" t="s">
        <v>2325</v>
      </c>
      <c r="G394" t="s">
        <v>28</v>
      </c>
      <c r="H394" t="s">
        <v>28</v>
      </c>
      <c r="I394" t="s">
        <v>863</v>
      </c>
    </row>
    <row r="395" customHeight="1" spans="1:9">
      <c r="A395" t="s">
        <v>2265</v>
      </c>
      <c r="B395" t="s">
        <v>16</v>
      </c>
      <c r="C395" t="s">
        <v>2719</v>
      </c>
      <c r="D395" t="s">
        <v>2720</v>
      </c>
      <c r="E395" t="s">
        <v>2721</v>
      </c>
      <c r="F395" t="s">
        <v>2301</v>
      </c>
      <c r="G395" t="s">
        <v>28</v>
      </c>
      <c r="H395" t="s">
        <v>28</v>
      </c>
      <c r="I395" t="s">
        <v>863</v>
      </c>
    </row>
    <row r="396" customHeight="1" spans="1:9">
      <c r="A396" t="s">
        <v>2265</v>
      </c>
      <c r="B396" t="s">
        <v>16</v>
      </c>
      <c r="C396" t="s">
        <v>2722</v>
      </c>
      <c r="D396" t="s">
        <v>2723</v>
      </c>
      <c r="E396" t="s">
        <v>2724</v>
      </c>
      <c r="F396" t="s">
        <v>2301</v>
      </c>
      <c r="G396" t="s">
        <v>28</v>
      </c>
      <c r="H396" t="s">
        <v>28</v>
      </c>
      <c r="I396" t="s">
        <v>863</v>
      </c>
    </row>
    <row r="397" customHeight="1" spans="1:9">
      <c r="A397" t="s">
        <v>2265</v>
      </c>
      <c r="B397" t="s">
        <v>16</v>
      </c>
      <c r="C397" t="s">
        <v>2725</v>
      </c>
      <c r="D397" t="s">
        <v>2726</v>
      </c>
      <c r="E397" t="s">
        <v>2727</v>
      </c>
      <c r="F397" t="s">
        <v>2728</v>
      </c>
      <c r="G397" t="s">
        <v>28</v>
      </c>
      <c r="H397" t="s">
        <v>28</v>
      </c>
      <c r="I397" t="s">
        <v>863</v>
      </c>
    </row>
    <row r="398" customHeight="1" spans="1:9">
      <c r="A398" t="s">
        <v>2265</v>
      </c>
      <c r="B398" t="s">
        <v>16</v>
      </c>
      <c r="C398" t="s">
        <v>2735</v>
      </c>
      <c r="D398" t="s">
        <v>2736</v>
      </c>
      <c r="E398" t="s">
        <v>2737</v>
      </c>
      <c r="F398" t="s">
        <v>2269</v>
      </c>
      <c r="G398" t="s">
        <v>28</v>
      </c>
      <c r="H398" t="s">
        <v>28</v>
      </c>
      <c r="I398" t="s">
        <v>863</v>
      </c>
    </row>
    <row r="399" customHeight="1" spans="1:9">
      <c r="A399" t="s">
        <v>2265</v>
      </c>
      <c r="B399" t="s">
        <v>16</v>
      </c>
      <c r="C399" t="s">
        <v>2738</v>
      </c>
      <c r="D399" t="s">
        <v>2739</v>
      </c>
      <c r="E399" t="s">
        <v>2740</v>
      </c>
      <c r="F399" t="s">
        <v>2428</v>
      </c>
      <c r="G399" t="s">
        <v>28</v>
      </c>
      <c r="H399" t="s">
        <v>28</v>
      </c>
      <c r="I399" t="s">
        <v>863</v>
      </c>
    </row>
    <row r="400" customHeight="1" spans="1:9">
      <c r="A400" t="s">
        <v>2265</v>
      </c>
      <c r="B400" t="s">
        <v>16</v>
      </c>
      <c r="C400" t="s">
        <v>3154</v>
      </c>
      <c r="D400" t="s">
        <v>3155</v>
      </c>
      <c r="E400" t="s">
        <v>3156</v>
      </c>
      <c r="F400" t="s">
        <v>2332</v>
      </c>
      <c r="G400" t="s">
        <v>28</v>
      </c>
      <c r="H400" t="s">
        <v>28</v>
      </c>
      <c r="I400" t="s">
        <v>863</v>
      </c>
    </row>
    <row r="401" customHeight="1" spans="1:9">
      <c r="A401" t="s">
        <v>2265</v>
      </c>
      <c r="B401" t="s">
        <v>16</v>
      </c>
      <c r="C401" t="s">
        <v>3157</v>
      </c>
      <c r="D401" t="s">
        <v>3158</v>
      </c>
      <c r="E401" t="s">
        <v>3159</v>
      </c>
      <c r="F401" t="s">
        <v>2380</v>
      </c>
      <c r="G401" t="s">
        <v>3160</v>
      </c>
      <c r="H401" t="s">
        <v>28</v>
      </c>
      <c r="I401" t="s">
        <v>863</v>
      </c>
    </row>
    <row r="402" customHeight="1" spans="1:9">
      <c r="A402" t="s">
        <v>2265</v>
      </c>
      <c r="B402" t="s">
        <v>16</v>
      </c>
      <c r="C402" t="s">
        <v>2741</v>
      </c>
      <c r="D402" t="s">
        <v>2742</v>
      </c>
      <c r="E402" t="s">
        <v>2743</v>
      </c>
      <c r="F402" t="s">
        <v>2269</v>
      </c>
      <c r="G402" t="s">
        <v>28</v>
      </c>
      <c r="H402" t="s">
        <v>28</v>
      </c>
      <c r="I402" t="s">
        <v>863</v>
      </c>
    </row>
    <row r="403" customHeight="1" spans="1:9">
      <c r="A403" t="s">
        <v>2265</v>
      </c>
      <c r="B403" t="s">
        <v>16</v>
      </c>
      <c r="C403" t="s">
        <v>2744</v>
      </c>
      <c r="D403" t="s">
        <v>2745</v>
      </c>
      <c r="E403" t="s">
        <v>2746</v>
      </c>
      <c r="F403" t="s">
        <v>2344</v>
      </c>
      <c r="G403" t="s">
        <v>28</v>
      </c>
      <c r="H403" t="s">
        <v>28</v>
      </c>
      <c r="I403" t="s">
        <v>863</v>
      </c>
    </row>
    <row r="404" customHeight="1" spans="1:9">
      <c r="A404" t="s">
        <v>2265</v>
      </c>
      <c r="B404" t="s">
        <v>16</v>
      </c>
      <c r="C404" t="s">
        <v>3161</v>
      </c>
      <c r="D404" t="s">
        <v>3162</v>
      </c>
      <c r="E404" t="s">
        <v>3163</v>
      </c>
      <c r="F404" t="s">
        <v>2532</v>
      </c>
      <c r="G404" t="s">
        <v>28</v>
      </c>
      <c r="H404" t="s">
        <v>28</v>
      </c>
      <c r="I404" t="s">
        <v>863</v>
      </c>
    </row>
    <row r="405" customHeight="1" spans="1:9">
      <c r="A405" t="s">
        <v>2265</v>
      </c>
      <c r="B405" t="s">
        <v>16</v>
      </c>
      <c r="C405" t="s">
        <v>3164</v>
      </c>
      <c r="D405" t="s">
        <v>3165</v>
      </c>
      <c r="E405" t="s">
        <v>3166</v>
      </c>
      <c r="F405" t="s">
        <v>2297</v>
      </c>
      <c r="G405" t="s">
        <v>28</v>
      </c>
      <c r="H405" t="s">
        <v>28</v>
      </c>
      <c r="I405" t="s">
        <v>863</v>
      </c>
    </row>
    <row r="406" customHeight="1" spans="1:9">
      <c r="A406" t="s">
        <v>2265</v>
      </c>
      <c r="B406" t="s">
        <v>16</v>
      </c>
      <c r="C406" t="s">
        <v>2754</v>
      </c>
      <c r="D406" t="s">
        <v>2755</v>
      </c>
      <c r="E406" t="s">
        <v>2756</v>
      </c>
      <c r="F406" t="s">
        <v>2428</v>
      </c>
      <c r="G406" t="s">
        <v>2757</v>
      </c>
      <c r="H406" t="s">
        <v>28</v>
      </c>
      <c r="I406" t="s">
        <v>863</v>
      </c>
    </row>
    <row r="407" customHeight="1" spans="1:9">
      <c r="A407" t="s">
        <v>2265</v>
      </c>
      <c r="B407" t="s">
        <v>16</v>
      </c>
      <c r="C407" t="s">
        <v>3167</v>
      </c>
      <c r="D407" t="s">
        <v>3168</v>
      </c>
      <c r="E407" t="s">
        <v>3169</v>
      </c>
      <c r="F407" t="s">
        <v>2344</v>
      </c>
      <c r="G407" t="s">
        <v>28</v>
      </c>
      <c r="H407" t="s">
        <v>28</v>
      </c>
      <c r="I407" t="s">
        <v>863</v>
      </c>
    </row>
    <row r="408" customHeight="1" spans="1:9">
      <c r="A408" t="s">
        <v>2265</v>
      </c>
      <c r="B408" t="s">
        <v>16</v>
      </c>
      <c r="C408" t="s">
        <v>2761</v>
      </c>
      <c r="D408" t="s">
        <v>2762</v>
      </c>
      <c r="E408" t="s">
        <v>2763</v>
      </c>
      <c r="F408" t="s">
        <v>2392</v>
      </c>
      <c r="G408" t="s">
        <v>28</v>
      </c>
      <c r="H408" t="s">
        <v>28</v>
      </c>
      <c r="I408" t="s">
        <v>863</v>
      </c>
    </row>
    <row r="409" customHeight="1" spans="1:9">
      <c r="A409" t="s">
        <v>2265</v>
      </c>
      <c r="B409" t="s">
        <v>16</v>
      </c>
      <c r="C409" t="s">
        <v>3170</v>
      </c>
      <c r="D409" t="s">
        <v>3171</v>
      </c>
      <c r="E409" t="s">
        <v>3172</v>
      </c>
      <c r="F409" t="s">
        <v>2823</v>
      </c>
      <c r="G409" t="s">
        <v>28</v>
      </c>
      <c r="H409" t="s">
        <v>28</v>
      </c>
      <c r="I409" t="s">
        <v>863</v>
      </c>
    </row>
    <row r="410" customHeight="1" spans="1:9">
      <c r="A410" t="s">
        <v>2265</v>
      </c>
      <c r="B410" t="s">
        <v>16</v>
      </c>
      <c r="C410" t="s">
        <v>2771</v>
      </c>
      <c r="D410" t="s">
        <v>2772</v>
      </c>
      <c r="E410" t="s">
        <v>2773</v>
      </c>
      <c r="F410" t="s">
        <v>2774</v>
      </c>
      <c r="G410" t="s">
        <v>28</v>
      </c>
      <c r="H410" t="s">
        <v>28</v>
      </c>
      <c r="I410" t="s">
        <v>863</v>
      </c>
    </row>
    <row r="411" customHeight="1" spans="1:9">
      <c r="A411" t="s">
        <v>2265</v>
      </c>
      <c r="B411" t="s">
        <v>16</v>
      </c>
      <c r="C411" t="s">
        <v>3173</v>
      </c>
      <c r="D411" t="s">
        <v>3174</v>
      </c>
      <c r="E411" t="s">
        <v>3175</v>
      </c>
      <c r="F411" t="s">
        <v>2380</v>
      </c>
      <c r="G411" t="s">
        <v>28</v>
      </c>
      <c r="H411" t="s">
        <v>28</v>
      </c>
      <c r="I411" t="s">
        <v>863</v>
      </c>
    </row>
    <row r="412" customHeight="1" spans="1:9">
      <c r="A412" t="s">
        <v>2265</v>
      </c>
      <c r="B412" t="s">
        <v>16</v>
      </c>
      <c r="C412" t="s">
        <v>2778</v>
      </c>
      <c r="D412" t="s">
        <v>2779</v>
      </c>
      <c r="E412" t="s">
        <v>2780</v>
      </c>
      <c r="F412" t="s">
        <v>2351</v>
      </c>
      <c r="G412" t="s">
        <v>28</v>
      </c>
      <c r="H412" t="s">
        <v>28</v>
      </c>
      <c r="I412" t="s">
        <v>863</v>
      </c>
    </row>
    <row r="413" customHeight="1" spans="1:9">
      <c r="A413" t="s">
        <v>2265</v>
      </c>
      <c r="B413" t="s">
        <v>16</v>
      </c>
      <c r="C413" t="s">
        <v>3176</v>
      </c>
      <c r="D413" t="s">
        <v>3177</v>
      </c>
      <c r="E413" t="s">
        <v>3178</v>
      </c>
      <c r="F413" t="s">
        <v>53</v>
      </c>
      <c r="G413" t="s">
        <v>28</v>
      </c>
      <c r="H413" t="s">
        <v>28</v>
      </c>
      <c r="I413" t="s">
        <v>863</v>
      </c>
    </row>
    <row r="414" customHeight="1" spans="1:9">
      <c r="A414" t="s">
        <v>2265</v>
      </c>
      <c r="B414" t="s">
        <v>16</v>
      </c>
      <c r="C414" t="s">
        <v>3179</v>
      </c>
      <c r="D414" t="s">
        <v>3180</v>
      </c>
      <c r="E414" t="s">
        <v>3181</v>
      </c>
      <c r="F414" t="s">
        <v>2269</v>
      </c>
      <c r="G414" t="s">
        <v>28</v>
      </c>
      <c r="H414" t="s">
        <v>28</v>
      </c>
      <c r="I414" t="s">
        <v>863</v>
      </c>
    </row>
    <row r="415" customHeight="1" spans="1:9">
      <c r="A415" t="s">
        <v>2265</v>
      </c>
      <c r="B415" t="s">
        <v>16</v>
      </c>
      <c r="C415" t="s">
        <v>3182</v>
      </c>
      <c r="D415" t="s">
        <v>3183</v>
      </c>
      <c r="E415" t="s">
        <v>3184</v>
      </c>
      <c r="F415" t="s">
        <v>2428</v>
      </c>
      <c r="G415" t="s">
        <v>28</v>
      </c>
      <c r="H415" t="s">
        <v>28</v>
      </c>
      <c r="I415" t="s">
        <v>863</v>
      </c>
    </row>
    <row r="416" customHeight="1" spans="1:9">
      <c r="A416" t="s">
        <v>2265</v>
      </c>
      <c r="B416" t="s">
        <v>16</v>
      </c>
      <c r="C416" t="s">
        <v>2827</v>
      </c>
      <c r="D416" t="s">
        <v>2828</v>
      </c>
      <c r="E416" t="s">
        <v>2829</v>
      </c>
      <c r="F416" t="s">
        <v>2830</v>
      </c>
      <c r="G416" t="s">
        <v>28</v>
      </c>
      <c r="H416" t="s">
        <v>28</v>
      </c>
      <c r="I416" t="s">
        <v>863</v>
      </c>
    </row>
    <row r="417" customHeight="1" spans="1:9">
      <c r="A417" t="s">
        <v>2265</v>
      </c>
      <c r="B417" t="s">
        <v>16</v>
      </c>
      <c r="C417" t="s">
        <v>2831</v>
      </c>
      <c r="D417" t="s">
        <v>2828</v>
      </c>
      <c r="E417" t="s">
        <v>2832</v>
      </c>
      <c r="F417" t="s">
        <v>2833</v>
      </c>
      <c r="G417" t="s">
        <v>28</v>
      </c>
      <c r="H417" t="s">
        <v>28</v>
      </c>
      <c r="I417" t="s">
        <v>863</v>
      </c>
    </row>
    <row r="418" customHeight="1" spans="1:9">
      <c r="A418" t="s">
        <v>2265</v>
      </c>
      <c r="B418" t="s">
        <v>16</v>
      </c>
      <c r="C418" t="s">
        <v>2836</v>
      </c>
      <c r="D418" t="s">
        <v>2837</v>
      </c>
      <c r="E418" t="s">
        <v>2838</v>
      </c>
      <c r="F418" t="s">
        <v>2269</v>
      </c>
      <c r="G418" t="s">
        <v>28</v>
      </c>
      <c r="H418" t="s">
        <v>28</v>
      </c>
      <c r="I418" t="s">
        <v>863</v>
      </c>
    </row>
    <row r="419" customHeight="1" spans="1:9">
      <c r="A419" t="s">
        <v>2265</v>
      </c>
      <c r="B419" t="s">
        <v>16</v>
      </c>
      <c r="C419" t="s">
        <v>3185</v>
      </c>
      <c r="D419" t="s">
        <v>3186</v>
      </c>
      <c r="E419" t="s">
        <v>3187</v>
      </c>
      <c r="F419" t="s">
        <v>2503</v>
      </c>
      <c r="G419" t="s">
        <v>28</v>
      </c>
      <c r="H419" t="s">
        <v>28</v>
      </c>
      <c r="I419" t="s">
        <v>863</v>
      </c>
    </row>
    <row r="420" customHeight="1" spans="1:9">
      <c r="A420" t="s">
        <v>2265</v>
      </c>
      <c r="B420" t="s">
        <v>16</v>
      </c>
      <c r="C420" t="s">
        <v>3188</v>
      </c>
      <c r="D420" t="s">
        <v>3189</v>
      </c>
      <c r="E420" t="s">
        <v>3190</v>
      </c>
      <c r="F420" t="s">
        <v>2689</v>
      </c>
      <c r="G420" t="s">
        <v>28</v>
      </c>
      <c r="H420" t="s">
        <v>28</v>
      </c>
      <c r="I420" t="s">
        <v>863</v>
      </c>
    </row>
    <row r="421" customHeight="1" spans="1:9">
      <c r="A421" t="s">
        <v>2265</v>
      </c>
      <c r="B421" t="s">
        <v>16</v>
      </c>
      <c r="C421" t="s">
        <v>3191</v>
      </c>
      <c r="D421" t="s">
        <v>3192</v>
      </c>
      <c r="E421" t="s">
        <v>3193</v>
      </c>
      <c r="F421" t="s">
        <v>2269</v>
      </c>
      <c r="G421" t="s">
        <v>28</v>
      </c>
      <c r="H421" t="s">
        <v>28</v>
      </c>
      <c r="I421" t="s">
        <v>863</v>
      </c>
    </row>
    <row r="422" customHeight="1" spans="1:9">
      <c r="A422" t="s">
        <v>2265</v>
      </c>
      <c r="B422" t="s">
        <v>16</v>
      </c>
      <c r="C422" t="s">
        <v>3194</v>
      </c>
      <c r="D422" t="s">
        <v>3195</v>
      </c>
      <c r="E422" t="s">
        <v>3196</v>
      </c>
      <c r="F422" t="s">
        <v>2325</v>
      </c>
      <c r="G422" t="s">
        <v>28</v>
      </c>
      <c r="H422" t="s">
        <v>28</v>
      </c>
      <c r="I422" t="s">
        <v>863</v>
      </c>
    </row>
    <row r="423" customHeight="1" spans="1:9">
      <c r="A423" t="s">
        <v>2265</v>
      </c>
      <c r="B423" t="s">
        <v>16</v>
      </c>
      <c r="C423" t="s">
        <v>3197</v>
      </c>
      <c r="D423" t="s">
        <v>3198</v>
      </c>
      <c r="E423" t="s">
        <v>3199</v>
      </c>
      <c r="F423" t="s">
        <v>2705</v>
      </c>
      <c r="G423" t="s">
        <v>28</v>
      </c>
      <c r="H423" t="s">
        <v>28</v>
      </c>
      <c r="I423" t="s">
        <v>863</v>
      </c>
    </row>
    <row r="424" customHeight="1" spans="1:9">
      <c r="A424" t="s">
        <v>2265</v>
      </c>
      <c r="B424" t="s">
        <v>16</v>
      </c>
      <c r="C424" t="s">
        <v>3200</v>
      </c>
      <c r="D424" t="s">
        <v>3201</v>
      </c>
      <c r="E424" t="s">
        <v>3202</v>
      </c>
      <c r="F424" t="s">
        <v>2273</v>
      </c>
      <c r="G424" t="s">
        <v>28</v>
      </c>
      <c r="H424" t="s">
        <v>28</v>
      </c>
      <c r="I424" t="s">
        <v>863</v>
      </c>
    </row>
    <row r="425" customHeight="1" spans="1:9">
      <c r="A425" t="s">
        <v>2265</v>
      </c>
      <c r="B425" t="s">
        <v>16</v>
      </c>
      <c r="C425" t="s">
        <v>3203</v>
      </c>
      <c r="D425" t="s">
        <v>3204</v>
      </c>
      <c r="E425" t="s">
        <v>3205</v>
      </c>
      <c r="F425" t="s">
        <v>2288</v>
      </c>
      <c r="G425" t="s">
        <v>28</v>
      </c>
      <c r="H425" t="s">
        <v>28</v>
      </c>
      <c r="I425" t="s">
        <v>863</v>
      </c>
    </row>
    <row r="426" customHeight="1" spans="1:9">
      <c r="A426" t="s">
        <v>2265</v>
      </c>
      <c r="B426" t="s">
        <v>16</v>
      </c>
      <c r="C426" t="s">
        <v>3206</v>
      </c>
      <c r="D426" t="s">
        <v>3207</v>
      </c>
      <c r="E426" t="s">
        <v>3208</v>
      </c>
      <c r="F426" t="s">
        <v>2292</v>
      </c>
      <c r="G426" t="s">
        <v>28</v>
      </c>
      <c r="H426" t="s">
        <v>28</v>
      </c>
      <c r="I426" t="s">
        <v>863</v>
      </c>
    </row>
    <row r="427" customHeight="1" spans="1:9">
      <c r="A427" t="s">
        <v>2265</v>
      </c>
      <c r="B427" t="s">
        <v>16</v>
      </c>
      <c r="C427" t="s">
        <v>3209</v>
      </c>
      <c r="D427" t="s">
        <v>3210</v>
      </c>
      <c r="E427" t="s">
        <v>3211</v>
      </c>
      <c r="F427" t="s">
        <v>2321</v>
      </c>
      <c r="G427" t="s">
        <v>28</v>
      </c>
      <c r="H427" t="s">
        <v>28</v>
      </c>
      <c r="I427" t="s">
        <v>863</v>
      </c>
    </row>
    <row r="428" customHeight="1" spans="1:9">
      <c r="A428" t="s">
        <v>2265</v>
      </c>
      <c r="B428" t="s">
        <v>16</v>
      </c>
      <c r="C428" t="s">
        <v>3212</v>
      </c>
      <c r="D428" t="s">
        <v>3213</v>
      </c>
      <c r="E428" t="s">
        <v>3214</v>
      </c>
      <c r="F428" t="s">
        <v>2269</v>
      </c>
      <c r="G428" t="s">
        <v>28</v>
      </c>
      <c r="H428" t="s">
        <v>28</v>
      </c>
      <c r="I428" t="s">
        <v>863</v>
      </c>
    </row>
    <row r="429" customHeight="1" spans="1:9">
      <c r="A429" t="s">
        <v>2265</v>
      </c>
      <c r="B429" t="s">
        <v>16</v>
      </c>
      <c r="C429" t="s">
        <v>3215</v>
      </c>
      <c r="D429" t="s">
        <v>3216</v>
      </c>
      <c r="E429" t="s">
        <v>3217</v>
      </c>
      <c r="F429" t="s">
        <v>2554</v>
      </c>
      <c r="G429" t="s">
        <v>28</v>
      </c>
      <c r="H429" t="s">
        <v>28</v>
      </c>
      <c r="I429" t="s">
        <v>863</v>
      </c>
    </row>
    <row r="430" customHeight="1" spans="1:9">
      <c r="A430" t="s">
        <v>2265</v>
      </c>
      <c r="B430" t="s">
        <v>16</v>
      </c>
      <c r="C430" t="s">
        <v>3218</v>
      </c>
      <c r="D430" t="s">
        <v>3219</v>
      </c>
      <c r="E430" t="s">
        <v>3220</v>
      </c>
      <c r="F430" t="s">
        <v>2269</v>
      </c>
      <c r="G430" t="s">
        <v>28</v>
      </c>
      <c r="H430" t="s">
        <v>28</v>
      </c>
      <c r="I430" t="s">
        <v>863</v>
      </c>
    </row>
    <row r="431" customHeight="1" spans="1:9">
      <c r="A431" t="s">
        <v>2265</v>
      </c>
      <c r="B431" t="s">
        <v>16</v>
      </c>
      <c r="C431" t="s">
        <v>3221</v>
      </c>
      <c r="D431" t="s">
        <v>3222</v>
      </c>
      <c r="E431" t="s">
        <v>3223</v>
      </c>
      <c r="F431" t="s">
        <v>2546</v>
      </c>
      <c r="G431" t="s">
        <v>28</v>
      </c>
      <c r="H431" t="s">
        <v>28</v>
      </c>
      <c r="I431" t="s">
        <v>863</v>
      </c>
    </row>
    <row r="432" customHeight="1" spans="1:9">
      <c r="A432" t="s">
        <v>2265</v>
      </c>
      <c r="B432" t="s">
        <v>16</v>
      </c>
      <c r="C432" t="s">
        <v>3224</v>
      </c>
      <c r="D432" t="s">
        <v>3225</v>
      </c>
      <c r="E432" t="s">
        <v>3226</v>
      </c>
      <c r="F432" t="s">
        <v>2340</v>
      </c>
      <c r="G432" t="s">
        <v>28</v>
      </c>
      <c r="H432" t="s">
        <v>28</v>
      </c>
      <c r="I432" t="s">
        <v>863</v>
      </c>
    </row>
    <row r="433" customHeight="1" spans="1:9">
      <c r="A433" t="s">
        <v>2265</v>
      </c>
      <c r="B433" t="s">
        <v>16</v>
      </c>
      <c r="C433" t="s">
        <v>3227</v>
      </c>
      <c r="D433" t="s">
        <v>3228</v>
      </c>
      <c r="E433" t="s">
        <v>3229</v>
      </c>
      <c r="F433" t="s">
        <v>2362</v>
      </c>
      <c r="G433" t="s">
        <v>3230</v>
      </c>
      <c r="H433" t="s">
        <v>28</v>
      </c>
      <c r="I433" t="s">
        <v>863</v>
      </c>
    </row>
    <row r="434" customHeight="1" spans="1:9">
      <c r="A434" t="s">
        <v>2265</v>
      </c>
      <c r="B434" t="s">
        <v>16</v>
      </c>
      <c r="C434" t="s">
        <v>2855</v>
      </c>
      <c r="D434" t="s">
        <v>2856</v>
      </c>
      <c r="E434" t="s">
        <v>2857</v>
      </c>
      <c r="F434" t="s">
        <v>2288</v>
      </c>
      <c r="G434" t="s">
        <v>28</v>
      </c>
      <c r="H434" t="s">
        <v>28</v>
      </c>
      <c r="I434" t="s">
        <v>863</v>
      </c>
    </row>
    <row r="435" customHeight="1" spans="1:9">
      <c r="A435" t="s">
        <v>2265</v>
      </c>
      <c r="B435" t="s">
        <v>16</v>
      </c>
      <c r="C435" t="s">
        <v>3231</v>
      </c>
      <c r="D435" t="s">
        <v>3232</v>
      </c>
      <c r="E435" t="s">
        <v>3233</v>
      </c>
      <c r="F435" t="s">
        <v>2662</v>
      </c>
      <c r="G435" t="s">
        <v>3234</v>
      </c>
      <c r="H435" t="s">
        <v>28</v>
      </c>
      <c r="I435" t="s">
        <v>863</v>
      </c>
    </row>
    <row r="436" customHeight="1" spans="1:9">
      <c r="A436" t="s">
        <v>2265</v>
      </c>
      <c r="B436" t="s">
        <v>16</v>
      </c>
      <c r="C436" t="s">
        <v>3235</v>
      </c>
      <c r="D436" t="s">
        <v>3236</v>
      </c>
      <c r="E436" t="s">
        <v>3237</v>
      </c>
      <c r="F436" t="s">
        <v>2380</v>
      </c>
      <c r="G436" t="s">
        <v>28</v>
      </c>
      <c r="H436" t="s">
        <v>28</v>
      </c>
      <c r="I436" t="s">
        <v>863</v>
      </c>
    </row>
    <row r="437" customHeight="1" spans="1:9">
      <c r="A437" t="s">
        <v>2265</v>
      </c>
      <c r="B437" t="s">
        <v>16</v>
      </c>
      <c r="C437" t="s">
        <v>3238</v>
      </c>
      <c r="D437" t="s">
        <v>3239</v>
      </c>
      <c r="E437" t="s">
        <v>3240</v>
      </c>
      <c r="F437" t="s">
        <v>2613</v>
      </c>
      <c r="G437" t="s">
        <v>3241</v>
      </c>
      <c r="H437" t="s">
        <v>28</v>
      </c>
      <c r="I437" t="s">
        <v>863</v>
      </c>
    </row>
    <row r="438" customHeight="1" spans="1:9">
      <c r="A438" t="s">
        <v>2265</v>
      </c>
      <c r="B438" t="s">
        <v>16</v>
      </c>
      <c r="C438" t="s">
        <v>3242</v>
      </c>
      <c r="D438" t="s">
        <v>3243</v>
      </c>
      <c r="E438" t="s">
        <v>3244</v>
      </c>
      <c r="F438" t="s">
        <v>3245</v>
      </c>
      <c r="G438" t="s">
        <v>28</v>
      </c>
      <c r="H438" t="s">
        <v>28</v>
      </c>
      <c r="I438" t="s">
        <v>863</v>
      </c>
    </row>
    <row r="439" customHeight="1" spans="1:9">
      <c r="A439" t="s">
        <v>2265</v>
      </c>
      <c r="B439" t="s">
        <v>16</v>
      </c>
      <c r="C439" t="s">
        <v>3246</v>
      </c>
      <c r="D439" t="s">
        <v>3247</v>
      </c>
      <c r="E439" t="s">
        <v>3248</v>
      </c>
      <c r="F439" t="s">
        <v>2273</v>
      </c>
      <c r="G439" t="s">
        <v>28</v>
      </c>
      <c r="H439" t="s">
        <v>28</v>
      </c>
      <c r="I439" t="s">
        <v>863</v>
      </c>
    </row>
    <row r="440" customHeight="1" spans="1:9">
      <c r="A440" t="s">
        <v>2265</v>
      </c>
      <c r="B440" t="s">
        <v>16</v>
      </c>
      <c r="C440" t="s">
        <v>2858</v>
      </c>
      <c r="D440" t="s">
        <v>2859</v>
      </c>
      <c r="E440" t="s">
        <v>2860</v>
      </c>
      <c r="F440" t="s">
        <v>2301</v>
      </c>
      <c r="G440" t="s">
        <v>28</v>
      </c>
      <c r="H440" t="s">
        <v>28</v>
      </c>
      <c r="I440" t="s">
        <v>863</v>
      </c>
    </row>
    <row r="441" customHeight="1" spans="1:9">
      <c r="A441" t="s">
        <v>2265</v>
      </c>
      <c r="B441" t="s">
        <v>16</v>
      </c>
      <c r="C441" t="s">
        <v>3249</v>
      </c>
      <c r="D441" t="s">
        <v>3250</v>
      </c>
      <c r="E441" t="s">
        <v>3251</v>
      </c>
      <c r="F441" t="s">
        <v>2340</v>
      </c>
      <c r="G441" t="s">
        <v>28</v>
      </c>
      <c r="H441" t="s">
        <v>28</v>
      </c>
      <c r="I441" t="s">
        <v>863</v>
      </c>
    </row>
    <row r="442" customHeight="1" spans="1:9">
      <c r="A442" t="s">
        <v>2265</v>
      </c>
      <c r="B442" t="s">
        <v>16</v>
      </c>
      <c r="C442" t="s">
        <v>2867</v>
      </c>
      <c r="D442" t="s">
        <v>2868</v>
      </c>
      <c r="E442" t="s">
        <v>2869</v>
      </c>
      <c r="F442" t="s">
        <v>2340</v>
      </c>
      <c r="G442" t="s">
        <v>28</v>
      </c>
      <c r="H442" t="s">
        <v>28</v>
      </c>
      <c r="I442" t="s">
        <v>863</v>
      </c>
    </row>
    <row r="443" customHeight="1" spans="1:9">
      <c r="A443" t="s">
        <v>2265</v>
      </c>
      <c r="B443" t="s">
        <v>16</v>
      </c>
      <c r="C443" t="s">
        <v>2879</v>
      </c>
      <c r="D443" t="s">
        <v>2880</v>
      </c>
      <c r="E443" t="s">
        <v>2881</v>
      </c>
      <c r="F443" t="s">
        <v>2376</v>
      </c>
      <c r="G443" t="s">
        <v>28</v>
      </c>
      <c r="H443" t="s">
        <v>28</v>
      </c>
      <c r="I443" t="s">
        <v>863</v>
      </c>
    </row>
    <row r="444" customHeight="1" spans="1:9">
      <c r="A444" t="s">
        <v>2265</v>
      </c>
      <c r="B444" t="s">
        <v>16</v>
      </c>
      <c r="C444" t="s">
        <v>3252</v>
      </c>
      <c r="D444" t="s">
        <v>3253</v>
      </c>
      <c r="E444" t="s">
        <v>3254</v>
      </c>
      <c r="F444" t="s">
        <v>2325</v>
      </c>
      <c r="G444" t="s">
        <v>28</v>
      </c>
      <c r="H444" t="s">
        <v>28</v>
      </c>
      <c r="I444" t="s">
        <v>863</v>
      </c>
    </row>
    <row r="445" customHeight="1" spans="1:9">
      <c r="A445" t="s">
        <v>2265</v>
      </c>
      <c r="B445" t="s">
        <v>16</v>
      </c>
      <c r="C445" t="s">
        <v>2891</v>
      </c>
      <c r="D445" t="s">
        <v>2892</v>
      </c>
      <c r="E445" t="s">
        <v>2893</v>
      </c>
      <c r="F445" t="s">
        <v>2613</v>
      </c>
      <c r="G445" t="s">
        <v>28</v>
      </c>
      <c r="H445" t="s">
        <v>28</v>
      </c>
      <c r="I445" t="s">
        <v>863</v>
      </c>
    </row>
    <row r="446" customHeight="1" spans="1:9">
      <c r="A446" t="s">
        <v>2265</v>
      </c>
      <c r="B446" t="s">
        <v>16</v>
      </c>
      <c r="C446" t="s">
        <v>2894</v>
      </c>
      <c r="D446" t="s">
        <v>2895</v>
      </c>
      <c r="E446" t="s">
        <v>2896</v>
      </c>
      <c r="F446" t="s">
        <v>2830</v>
      </c>
      <c r="G446" t="s">
        <v>28</v>
      </c>
      <c r="H446" t="s">
        <v>28</v>
      </c>
      <c r="I446" t="s">
        <v>863</v>
      </c>
    </row>
    <row r="447" customHeight="1" spans="1:9">
      <c r="A447" t="s">
        <v>2265</v>
      </c>
      <c r="B447" t="s">
        <v>16</v>
      </c>
      <c r="C447" t="s">
        <v>3255</v>
      </c>
      <c r="D447" t="s">
        <v>3256</v>
      </c>
      <c r="E447" t="s">
        <v>3257</v>
      </c>
      <c r="F447" t="s">
        <v>53</v>
      </c>
      <c r="G447" t="s">
        <v>28</v>
      </c>
      <c r="H447" t="s">
        <v>28</v>
      </c>
      <c r="I447" t="s">
        <v>863</v>
      </c>
    </row>
    <row r="448" customHeight="1" spans="1:9">
      <c r="A448" t="s">
        <v>2265</v>
      </c>
      <c r="B448" t="s">
        <v>16</v>
      </c>
      <c r="C448" t="s">
        <v>3258</v>
      </c>
      <c r="D448" t="s">
        <v>3259</v>
      </c>
      <c r="E448" t="s">
        <v>3260</v>
      </c>
      <c r="F448" t="s">
        <v>2532</v>
      </c>
      <c r="G448" t="s">
        <v>28</v>
      </c>
      <c r="H448" t="s">
        <v>28</v>
      </c>
      <c r="I448" t="s">
        <v>863</v>
      </c>
    </row>
    <row r="449" customHeight="1" spans="1:9">
      <c r="A449" t="s">
        <v>2265</v>
      </c>
      <c r="B449" t="s">
        <v>16</v>
      </c>
      <c r="C449" t="s">
        <v>2907</v>
      </c>
      <c r="D449" t="s">
        <v>2908</v>
      </c>
      <c r="E449" t="s">
        <v>2909</v>
      </c>
      <c r="F449" t="s">
        <v>2428</v>
      </c>
      <c r="G449" t="s">
        <v>28</v>
      </c>
      <c r="H449" t="s">
        <v>28</v>
      </c>
      <c r="I449" t="s">
        <v>863</v>
      </c>
    </row>
    <row r="450" customHeight="1" spans="1:9">
      <c r="A450" t="s">
        <v>2265</v>
      </c>
      <c r="B450" t="s">
        <v>16</v>
      </c>
      <c r="C450" t="s">
        <v>2910</v>
      </c>
      <c r="D450" t="s">
        <v>2908</v>
      </c>
      <c r="E450" t="s">
        <v>2909</v>
      </c>
      <c r="F450" t="s">
        <v>2284</v>
      </c>
      <c r="G450" t="s">
        <v>28</v>
      </c>
      <c r="H450" t="s">
        <v>28</v>
      </c>
      <c r="I450" t="s">
        <v>863</v>
      </c>
    </row>
    <row r="451" customHeight="1" spans="1:9">
      <c r="A451" t="s">
        <v>2265</v>
      </c>
      <c r="B451" t="s">
        <v>16</v>
      </c>
      <c r="C451" t="s">
        <v>2911</v>
      </c>
      <c r="D451" t="s">
        <v>2912</v>
      </c>
      <c r="E451" t="s">
        <v>2913</v>
      </c>
      <c r="F451" t="s">
        <v>2284</v>
      </c>
      <c r="G451" t="s">
        <v>28</v>
      </c>
      <c r="H451" t="s">
        <v>28</v>
      </c>
      <c r="I451" t="s">
        <v>863</v>
      </c>
    </row>
    <row r="452" customHeight="1" spans="1:9">
      <c r="A452" t="s">
        <v>2265</v>
      </c>
      <c r="B452" t="s">
        <v>16</v>
      </c>
      <c r="C452" t="s">
        <v>3261</v>
      </c>
      <c r="D452" t="s">
        <v>3262</v>
      </c>
      <c r="E452" t="s">
        <v>3263</v>
      </c>
      <c r="F452" t="s">
        <v>3264</v>
      </c>
      <c r="G452" t="s">
        <v>28</v>
      </c>
      <c r="H452" t="s">
        <v>28</v>
      </c>
      <c r="I452" t="s">
        <v>863</v>
      </c>
    </row>
    <row r="453" customHeight="1" spans="1:9">
      <c r="A453" t="s">
        <v>2265</v>
      </c>
      <c r="B453" t="s">
        <v>16</v>
      </c>
      <c r="C453" t="s">
        <v>3265</v>
      </c>
      <c r="D453" t="s">
        <v>3266</v>
      </c>
      <c r="E453" t="s">
        <v>3267</v>
      </c>
      <c r="F453" t="s">
        <v>3268</v>
      </c>
      <c r="G453" t="s">
        <v>3269</v>
      </c>
      <c r="H453" t="s">
        <v>28</v>
      </c>
      <c r="I453" t="s">
        <v>863</v>
      </c>
    </row>
    <row r="454" customHeight="1" spans="1:9">
      <c r="A454" t="s">
        <v>2265</v>
      </c>
      <c r="B454" t="s">
        <v>16</v>
      </c>
      <c r="C454" t="s">
        <v>2917</v>
      </c>
      <c r="D454" t="s">
        <v>2918</v>
      </c>
      <c r="E454" t="s">
        <v>2919</v>
      </c>
      <c r="F454" t="s">
        <v>2325</v>
      </c>
      <c r="G454" t="s">
        <v>28</v>
      </c>
      <c r="H454" t="s">
        <v>28</v>
      </c>
      <c r="I454" t="s">
        <v>863</v>
      </c>
    </row>
    <row r="455" customHeight="1" spans="1:9">
      <c r="A455" t="s">
        <v>2265</v>
      </c>
      <c r="B455" t="s">
        <v>16</v>
      </c>
      <c r="C455" t="s">
        <v>3270</v>
      </c>
      <c r="D455" t="s">
        <v>3271</v>
      </c>
      <c r="E455" t="s">
        <v>3272</v>
      </c>
      <c r="F455" t="s">
        <v>53</v>
      </c>
      <c r="G455" t="s">
        <v>28</v>
      </c>
      <c r="H455" t="s">
        <v>28</v>
      </c>
      <c r="I455" t="s">
        <v>863</v>
      </c>
    </row>
    <row r="456" customHeight="1" spans="1:9">
      <c r="A456" t="s">
        <v>2265</v>
      </c>
      <c r="B456" t="s">
        <v>16</v>
      </c>
      <c r="C456" t="s">
        <v>3273</v>
      </c>
      <c r="D456" t="s">
        <v>3274</v>
      </c>
      <c r="E456" t="s">
        <v>3275</v>
      </c>
      <c r="F456" t="s">
        <v>2689</v>
      </c>
      <c r="G456" t="s">
        <v>28</v>
      </c>
      <c r="H456" t="s">
        <v>28</v>
      </c>
      <c r="I456" t="s">
        <v>863</v>
      </c>
    </row>
    <row r="457" customHeight="1" spans="1:9">
      <c r="A457" t="s">
        <v>2265</v>
      </c>
      <c r="B457" t="s">
        <v>16</v>
      </c>
      <c r="C457" t="s">
        <v>3276</v>
      </c>
      <c r="D457" t="s">
        <v>3277</v>
      </c>
      <c r="E457" t="s">
        <v>3278</v>
      </c>
      <c r="F457" t="s">
        <v>2325</v>
      </c>
      <c r="G457" t="s">
        <v>28</v>
      </c>
      <c r="H457" t="s">
        <v>28</v>
      </c>
      <c r="I457" t="s">
        <v>863</v>
      </c>
    </row>
    <row r="458" customHeight="1" spans="1:9">
      <c r="A458" t="s">
        <v>2265</v>
      </c>
      <c r="B458" t="s">
        <v>16</v>
      </c>
      <c r="C458" t="s">
        <v>3279</v>
      </c>
      <c r="D458" t="s">
        <v>3280</v>
      </c>
      <c r="E458" t="s">
        <v>3281</v>
      </c>
      <c r="F458" t="s">
        <v>2503</v>
      </c>
      <c r="G458" t="s">
        <v>28</v>
      </c>
      <c r="H458" t="s">
        <v>28</v>
      </c>
      <c r="I458" t="s">
        <v>863</v>
      </c>
    </row>
    <row r="459" customHeight="1" spans="1:9">
      <c r="A459" t="s">
        <v>2265</v>
      </c>
      <c r="B459" t="s">
        <v>16</v>
      </c>
      <c r="C459" t="s">
        <v>2920</v>
      </c>
      <c r="D459" t="s">
        <v>2921</v>
      </c>
      <c r="E459" t="s">
        <v>2922</v>
      </c>
      <c r="F459" t="s">
        <v>2923</v>
      </c>
      <c r="G459" t="s">
        <v>28</v>
      </c>
      <c r="H459" t="s">
        <v>28</v>
      </c>
      <c r="I459" t="s">
        <v>863</v>
      </c>
    </row>
    <row r="460" customHeight="1" spans="1:9">
      <c r="A460" t="s">
        <v>2265</v>
      </c>
      <c r="B460" t="s">
        <v>16</v>
      </c>
      <c r="C460" t="s">
        <v>2933</v>
      </c>
      <c r="D460" t="s">
        <v>2934</v>
      </c>
      <c r="E460" t="s">
        <v>2935</v>
      </c>
      <c r="F460" t="s">
        <v>2936</v>
      </c>
      <c r="G460" t="s">
        <v>28</v>
      </c>
      <c r="H460" t="s">
        <v>28</v>
      </c>
      <c r="I460" t="s">
        <v>863</v>
      </c>
    </row>
    <row r="461" customHeight="1" spans="1:9">
      <c r="A461" t="s">
        <v>2265</v>
      </c>
      <c r="B461" t="s">
        <v>16</v>
      </c>
      <c r="C461" t="s">
        <v>2940</v>
      </c>
      <c r="D461" t="s">
        <v>2941</v>
      </c>
      <c r="E461" t="s">
        <v>2942</v>
      </c>
      <c r="F461" t="s">
        <v>2332</v>
      </c>
      <c r="G461" t="s">
        <v>28</v>
      </c>
      <c r="H461" t="s">
        <v>28</v>
      </c>
      <c r="I461" t="s">
        <v>863</v>
      </c>
    </row>
    <row r="462" customHeight="1" spans="1:9">
      <c r="A462" t="s">
        <v>2265</v>
      </c>
      <c r="B462" t="s">
        <v>16</v>
      </c>
      <c r="C462" t="s">
        <v>3282</v>
      </c>
      <c r="D462" t="s">
        <v>3283</v>
      </c>
      <c r="E462" t="s">
        <v>3054</v>
      </c>
      <c r="F462" t="s">
        <v>3284</v>
      </c>
      <c r="G462" t="s">
        <v>28</v>
      </c>
      <c r="H462" t="s">
        <v>28</v>
      </c>
      <c r="I462" t="s">
        <v>863</v>
      </c>
    </row>
    <row r="463" customHeight="1" spans="1:9">
      <c r="A463" t="s">
        <v>2265</v>
      </c>
      <c r="B463" t="s">
        <v>16</v>
      </c>
      <c r="C463" t="s">
        <v>2947</v>
      </c>
      <c r="D463" t="s">
        <v>2948</v>
      </c>
      <c r="E463" t="s">
        <v>2949</v>
      </c>
      <c r="F463" t="s">
        <v>2950</v>
      </c>
      <c r="G463" t="s">
        <v>28</v>
      </c>
      <c r="H463" t="s">
        <v>28</v>
      </c>
      <c r="I463" t="s">
        <v>863</v>
      </c>
    </row>
    <row r="464" customHeight="1" spans="1:9">
      <c r="A464" t="s">
        <v>2265</v>
      </c>
      <c r="B464" t="s">
        <v>16</v>
      </c>
      <c r="C464" t="s">
        <v>2955</v>
      </c>
      <c r="D464" t="s">
        <v>2956</v>
      </c>
      <c r="E464" t="s">
        <v>2935</v>
      </c>
      <c r="F464" t="s">
        <v>2957</v>
      </c>
      <c r="G464" t="s">
        <v>28</v>
      </c>
      <c r="H464" t="s">
        <v>28</v>
      </c>
      <c r="I464" t="s">
        <v>863</v>
      </c>
    </row>
    <row r="465" customHeight="1" spans="1:9">
      <c r="A465" t="s">
        <v>2265</v>
      </c>
      <c r="B465" t="s">
        <v>16</v>
      </c>
      <c r="C465" t="s">
        <v>2958</v>
      </c>
      <c r="D465" t="s">
        <v>2959</v>
      </c>
      <c r="E465" t="s">
        <v>2960</v>
      </c>
      <c r="F465" t="s">
        <v>2961</v>
      </c>
      <c r="G465" t="s">
        <v>28</v>
      </c>
      <c r="H465" t="s">
        <v>28</v>
      </c>
      <c r="I465" t="s">
        <v>863</v>
      </c>
    </row>
    <row r="466" customHeight="1" spans="1:9">
      <c r="A466" t="s">
        <v>2265</v>
      </c>
      <c r="B466" t="s">
        <v>16</v>
      </c>
      <c r="C466" t="s">
        <v>2274</v>
      </c>
      <c r="D466" t="s">
        <v>2275</v>
      </c>
      <c r="E466" t="s">
        <v>2276</v>
      </c>
      <c r="F466" t="s">
        <v>2277</v>
      </c>
      <c r="G466" t="s">
        <v>28</v>
      </c>
      <c r="H466" t="s">
        <v>28</v>
      </c>
      <c r="I466" t="s">
        <v>916</v>
      </c>
    </row>
    <row r="467" customHeight="1" spans="1:9">
      <c r="A467" t="s">
        <v>2265</v>
      </c>
      <c r="B467" t="s">
        <v>16</v>
      </c>
      <c r="C467" t="s">
        <v>2977</v>
      </c>
      <c r="D467" t="s">
        <v>2978</v>
      </c>
      <c r="E467" t="s">
        <v>2979</v>
      </c>
      <c r="F467" t="s">
        <v>2273</v>
      </c>
      <c r="G467" t="s">
        <v>28</v>
      </c>
      <c r="H467" t="s">
        <v>28</v>
      </c>
      <c r="I467" t="s">
        <v>916</v>
      </c>
    </row>
    <row r="468" customHeight="1" spans="1:9">
      <c r="A468" t="s">
        <v>2265</v>
      </c>
      <c r="B468" t="s">
        <v>16</v>
      </c>
      <c r="C468" t="s">
        <v>2281</v>
      </c>
      <c r="D468" t="s">
        <v>2282</v>
      </c>
      <c r="E468" t="s">
        <v>2283</v>
      </c>
      <c r="F468" t="s">
        <v>2284</v>
      </c>
      <c r="G468" t="s">
        <v>28</v>
      </c>
      <c r="H468" t="s">
        <v>28</v>
      </c>
      <c r="I468" t="s">
        <v>916</v>
      </c>
    </row>
    <row r="469" customHeight="1" spans="1:9">
      <c r="A469" t="s">
        <v>2265</v>
      </c>
      <c r="B469" t="s">
        <v>16</v>
      </c>
      <c r="C469" t="s">
        <v>2285</v>
      </c>
      <c r="D469" t="s">
        <v>2286</v>
      </c>
      <c r="E469" t="s">
        <v>2287</v>
      </c>
      <c r="F469" t="s">
        <v>2288</v>
      </c>
      <c r="G469" t="s">
        <v>28</v>
      </c>
      <c r="H469" t="s">
        <v>28</v>
      </c>
      <c r="I469" t="s">
        <v>916</v>
      </c>
    </row>
    <row r="470" customHeight="1" spans="1:9">
      <c r="A470" t="s">
        <v>2265</v>
      </c>
      <c r="B470" t="s">
        <v>16</v>
      </c>
      <c r="C470" t="s">
        <v>2980</v>
      </c>
      <c r="D470" t="s">
        <v>2981</v>
      </c>
      <c r="E470" t="s">
        <v>2982</v>
      </c>
      <c r="F470" t="s">
        <v>2297</v>
      </c>
      <c r="G470" t="s">
        <v>28</v>
      </c>
      <c r="H470" t="s">
        <v>28</v>
      </c>
      <c r="I470" t="s">
        <v>916</v>
      </c>
    </row>
    <row r="471" customHeight="1" spans="1:9">
      <c r="A471" t="s">
        <v>2265</v>
      </c>
      <c r="B471" t="s">
        <v>16</v>
      </c>
      <c r="C471" t="s">
        <v>2298</v>
      </c>
      <c r="D471" t="s">
        <v>2299</v>
      </c>
      <c r="E471" t="s">
        <v>2300</v>
      </c>
      <c r="F471" t="s">
        <v>2301</v>
      </c>
      <c r="G471" t="s">
        <v>28</v>
      </c>
      <c r="H471" t="s">
        <v>28</v>
      </c>
      <c r="I471" t="s">
        <v>916</v>
      </c>
    </row>
    <row r="472" customHeight="1" spans="1:9">
      <c r="A472" t="s">
        <v>2265</v>
      </c>
      <c r="B472" t="s">
        <v>16</v>
      </c>
      <c r="C472" t="s">
        <v>2302</v>
      </c>
      <c r="D472" t="s">
        <v>2303</v>
      </c>
      <c r="E472" t="s">
        <v>2304</v>
      </c>
      <c r="F472" t="s">
        <v>2305</v>
      </c>
      <c r="G472" t="s">
        <v>28</v>
      </c>
      <c r="H472" t="s">
        <v>28</v>
      </c>
      <c r="I472" t="s">
        <v>916</v>
      </c>
    </row>
    <row r="473" customHeight="1" spans="1:9">
      <c r="A473" t="s">
        <v>2265</v>
      </c>
      <c r="B473" t="s">
        <v>16</v>
      </c>
      <c r="C473" t="s">
        <v>2306</v>
      </c>
      <c r="D473" t="s">
        <v>2307</v>
      </c>
      <c r="E473" t="s">
        <v>2308</v>
      </c>
      <c r="F473" t="s">
        <v>2309</v>
      </c>
      <c r="G473" t="s">
        <v>28</v>
      </c>
      <c r="H473" t="s">
        <v>28</v>
      </c>
      <c r="I473" t="s">
        <v>916</v>
      </c>
    </row>
    <row r="474" customHeight="1" spans="1:9">
      <c r="A474" t="s">
        <v>2265</v>
      </c>
      <c r="B474" t="s">
        <v>16</v>
      </c>
      <c r="C474" t="s">
        <v>2310</v>
      </c>
      <c r="D474" t="s">
        <v>2307</v>
      </c>
      <c r="E474" t="s">
        <v>2308</v>
      </c>
      <c r="F474" t="s">
        <v>2311</v>
      </c>
      <c r="G474" t="s">
        <v>2312</v>
      </c>
      <c r="H474" t="s">
        <v>28</v>
      </c>
      <c r="I474" t="s">
        <v>916</v>
      </c>
    </row>
    <row r="475" customHeight="1" spans="1:9">
      <c r="A475" t="s">
        <v>2265</v>
      </c>
      <c r="B475" t="s">
        <v>16</v>
      </c>
      <c r="C475" t="s">
        <v>2313</v>
      </c>
      <c r="D475" t="s">
        <v>2307</v>
      </c>
      <c r="E475" t="s">
        <v>2308</v>
      </c>
      <c r="F475" t="s">
        <v>2314</v>
      </c>
      <c r="G475" t="s">
        <v>28</v>
      </c>
      <c r="H475" t="s">
        <v>28</v>
      </c>
      <c r="I475" t="s">
        <v>916</v>
      </c>
    </row>
    <row r="476" customHeight="1" spans="1:9">
      <c r="A476" t="s">
        <v>2265</v>
      </c>
      <c r="B476" t="s">
        <v>16</v>
      </c>
      <c r="C476" t="s">
        <v>2983</v>
      </c>
      <c r="D476" t="s">
        <v>2984</v>
      </c>
      <c r="E476" t="s">
        <v>2985</v>
      </c>
      <c r="F476" t="s">
        <v>2325</v>
      </c>
      <c r="G476" t="s">
        <v>28</v>
      </c>
      <c r="H476" t="s">
        <v>28</v>
      </c>
      <c r="I476" t="s">
        <v>916</v>
      </c>
    </row>
    <row r="477" customHeight="1" spans="1:9">
      <c r="A477" t="s">
        <v>2265</v>
      </c>
      <c r="B477" t="s">
        <v>16</v>
      </c>
      <c r="C477" t="s">
        <v>2329</v>
      </c>
      <c r="D477" t="s">
        <v>2330</v>
      </c>
      <c r="E477" t="s">
        <v>2331</v>
      </c>
      <c r="F477" t="s">
        <v>2332</v>
      </c>
      <c r="G477" t="s">
        <v>28</v>
      </c>
      <c r="H477" t="s">
        <v>28</v>
      </c>
      <c r="I477" t="s">
        <v>916</v>
      </c>
    </row>
    <row r="478" customHeight="1" spans="1:9">
      <c r="A478" t="s">
        <v>2265</v>
      </c>
      <c r="B478" t="s">
        <v>16</v>
      </c>
      <c r="C478" t="s">
        <v>2333</v>
      </c>
      <c r="D478" t="s">
        <v>2334</v>
      </c>
      <c r="E478" t="s">
        <v>2335</v>
      </c>
      <c r="F478" t="s">
        <v>2336</v>
      </c>
      <c r="G478" t="s">
        <v>28</v>
      </c>
      <c r="H478" t="s">
        <v>28</v>
      </c>
      <c r="I478" t="s">
        <v>916</v>
      </c>
    </row>
    <row r="479" customHeight="1" spans="1:9">
      <c r="A479" t="s">
        <v>2265</v>
      </c>
      <c r="B479" t="s">
        <v>16</v>
      </c>
      <c r="C479" t="s">
        <v>2337</v>
      </c>
      <c r="D479" t="s">
        <v>2338</v>
      </c>
      <c r="E479" t="s">
        <v>2339</v>
      </c>
      <c r="F479" t="s">
        <v>2340</v>
      </c>
      <c r="G479" t="s">
        <v>28</v>
      </c>
      <c r="H479" t="s">
        <v>28</v>
      </c>
      <c r="I479" t="s">
        <v>916</v>
      </c>
    </row>
    <row r="480" customHeight="1" spans="1:9">
      <c r="A480" t="s">
        <v>2265</v>
      </c>
      <c r="B480" t="s">
        <v>16</v>
      </c>
      <c r="C480" t="s">
        <v>2352</v>
      </c>
      <c r="D480" t="s">
        <v>2353</v>
      </c>
      <c r="E480" t="s">
        <v>2354</v>
      </c>
      <c r="F480" t="s">
        <v>2355</v>
      </c>
      <c r="G480" t="s">
        <v>28</v>
      </c>
      <c r="H480" t="s">
        <v>28</v>
      </c>
      <c r="I480" t="s">
        <v>916</v>
      </c>
    </row>
    <row r="481" customHeight="1" spans="1:9">
      <c r="A481" t="s">
        <v>2265</v>
      </c>
      <c r="B481" t="s">
        <v>16</v>
      </c>
      <c r="C481" t="s">
        <v>2989</v>
      </c>
      <c r="D481" t="s">
        <v>2990</v>
      </c>
      <c r="E481" t="s">
        <v>2991</v>
      </c>
      <c r="F481" t="s">
        <v>2362</v>
      </c>
      <c r="G481" t="s">
        <v>28</v>
      </c>
      <c r="H481" t="s">
        <v>28</v>
      </c>
      <c r="I481" t="s">
        <v>916</v>
      </c>
    </row>
    <row r="482" customHeight="1" spans="1:9">
      <c r="A482" t="s">
        <v>2265</v>
      </c>
      <c r="B482" t="s">
        <v>16</v>
      </c>
      <c r="C482" t="s">
        <v>2363</v>
      </c>
      <c r="D482" t="s">
        <v>2364</v>
      </c>
      <c r="E482" t="s">
        <v>2365</v>
      </c>
      <c r="F482" t="s">
        <v>2344</v>
      </c>
      <c r="G482" t="s">
        <v>28</v>
      </c>
      <c r="H482" t="s">
        <v>28</v>
      </c>
      <c r="I482" t="s">
        <v>916</v>
      </c>
    </row>
    <row r="483" customHeight="1" spans="1:9">
      <c r="A483" t="s">
        <v>2265</v>
      </c>
      <c r="B483" t="s">
        <v>16</v>
      </c>
      <c r="C483" t="s">
        <v>2366</v>
      </c>
      <c r="D483" t="s">
        <v>2367</v>
      </c>
      <c r="E483" t="s">
        <v>2368</v>
      </c>
      <c r="F483" t="s">
        <v>2369</v>
      </c>
      <c r="G483" t="s">
        <v>28</v>
      </c>
      <c r="H483" t="s">
        <v>28</v>
      </c>
      <c r="I483" t="s">
        <v>916</v>
      </c>
    </row>
    <row r="484" customHeight="1" spans="1:9">
      <c r="A484" t="s">
        <v>2265</v>
      </c>
      <c r="B484" t="s">
        <v>16</v>
      </c>
      <c r="C484" t="s">
        <v>2377</v>
      </c>
      <c r="D484" t="s">
        <v>2378</v>
      </c>
      <c r="E484" t="s">
        <v>2379</v>
      </c>
      <c r="F484" t="s">
        <v>2380</v>
      </c>
      <c r="G484" t="s">
        <v>28</v>
      </c>
      <c r="H484" t="s">
        <v>28</v>
      </c>
      <c r="I484" t="s">
        <v>916</v>
      </c>
    </row>
    <row r="485" customHeight="1" spans="1:9">
      <c r="A485" t="s">
        <v>2265</v>
      </c>
      <c r="B485" t="s">
        <v>16</v>
      </c>
      <c r="C485" t="s">
        <v>2381</v>
      </c>
      <c r="D485" t="s">
        <v>2382</v>
      </c>
      <c r="E485" t="s">
        <v>2383</v>
      </c>
      <c r="F485" t="s">
        <v>2384</v>
      </c>
      <c r="G485" t="s">
        <v>28</v>
      </c>
      <c r="H485" t="s">
        <v>28</v>
      </c>
      <c r="I485" t="s">
        <v>916</v>
      </c>
    </row>
    <row r="486" customHeight="1" spans="1:9">
      <c r="A486" t="s">
        <v>2265</v>
      </c>
      <c r="B486" t="s">
        <v>16</v>
      </c>
      <c r="C486" t="s">
        <v>13</v>
      </c>
      <c r="D486" t="s">
        <v>48</v>
      </c>
      <c r="E486" t="s">
        <v>51</v>
      </c>
      <c r="F486" t="s">
        <v>53</v>
      </c>
      <c r="G486" t="s">
        <v>28</v>
      </c>
      <c r="H486" t="s">
        <v>28</v>
      </c>
      <c r="I486" t="s">
        <v>916</v>
      </c>
    </row>
    <row r="487" customHeight="1" spans="1:9">
      <c r="A487" t="s">
        <v>2265</v>
      </c>
      <c r="B487" t="s">
        <v>16</v>
      </c>
      <c r="C487" t="s">
        <v>3285</v>
      </c>
      <c r="D487" t="s">
        <v>3286</v>
      </c>
      <c r="E487" t="s">
        <v>3287</v>
      </c>
      <c r="F487" t="s">
        <v>53</v>
      </c>
      <c r="G487" t="s">
        <v>28</v>
      </c>
      <c r="H487" t="s">
        <v>28</v>
      </c>
      <c r="I487" t="s">
        <v>916</v>
      </c>
    </row>
    <row r="488" customHeight="1" spans="1:9">
      <c r="A488" t="s">
        <v>2265</v>
      </c>
      <c r="B488" t="s">
        <v>16</v>
      </c>
      <c r="C488" t="s">
        <v>2389</v>
      </c>
      <c r="D488" t="s">
        <v>2390</v>
      </c>
      <c r="E488" t="s">
        <v>2391</v>
      </c>
      <c r="F488" t="s">
        <v>2392</v>
      </c>
      <c r="G488" t="s">
        <v>28</v>
      </c>
      <c r="H488" t="s">
        <v>28</v>
      </c>
      <c r="I488" t="s">
        <v>916</v>
      </c>
    </row>
    <row r="489" customHeight="1" spans="1:9">
      <c r="A489" t="s">
        <v>2265</v>
      </c>
      <c r="B489" t="s">
        <v>16</v>
      </c>
      <c r="C489" t="s">
        <v>2393</v>
      </c>
      <c r="D489" t="s">
        <v>2394</v>
      </c>
      <c r="E489" t="s">
        <v>2395</v>
      </c>
      <c r="F489" t="s">
        <v>2340</v>
      </c>
      <c r="G489" t="s">
        <v>28</v>
      </c>
      <c r="H489" t="s">
        <v>28</v>
      </c>
      <c r="I489" t="s">
        <v>916</v>
      </c>
    </row>
    <row r="490" customHeight="1" spans="1:9">
      <c r="A490" t="s">
        <v>2265</v>
      </c>
      <c r="B490" t="s">
        <v>16</v>
      </c>
      <c r="C490" t="s">
        <v>2396</v>
      </c>
      <c r="D490" t="s">
        <v>2397</v>
      </c>
      <c r="E490" t="s">
        <v>2398</v>
      </c>
      <c r="F490" t="s">
        <v>2399</v>
      </c>
      <c r="G490" t="s">
        <v>28</v>
      </c>
      <c r="H490" t="s">
        <v>28</v>
      </c>
      <c r="I490" t="s">
        <v>916</v>
      </c>
    </row>
    <row r="491" customHeight="1" spans="1:9">
      <c r="A491" t="s">
        <v>2265</v>
      </c>
      <c r="B491" t="s">
        <v>16</v>
      </c>
      <c r="C491" t="s">
        <v>2400</v>
      </c>
      <c r="D491" t="s">
        <v>2401</v>
      </c>
      <c r="E491" t="s">
        <v>2402</v>
      </c>
      <c r="F491" t="s">
        <v>2384</v>
      </c>
      <c r="G491" t="s">
        <v>28</v>
      </c>
      <c r="H491" t="s">
        <v>28</v>
      </c>
      <c r="I491" t="s">
        <v>916</v>
      </c>
    </row>
    <row r="492" customHeight="1" spans="1:9">
      <c r="A492" t="s">
        <v>2265</v>
      </c>
      <c r="B492" t="s">
        <v>16</v>
      </c>
      <c r="C492" t="s">
        <v>2403</v>
      </c>
      <c r="D492" t="s">
        <v>2404</v>
      </c>
      <c r="E492" t="s">
        <v>2405</v>
      </c>
      <c r="F492" t="s">
        <v>2301</v>
      </c>
      <c r="G492" t="s">
        <v>2406</v>
      </c>
      <c r="H492" t="s">
        <v>28</v>
      </c>
      <c r="I492" t="s">
        <v>916</v>
      </c>
    </row>
    <row r="493" customHeight="1" spans="1:9">
      <c r="A493" t="s">
        <v>2265</v>
      </c>
      <c r="B493" t="s">
        <v>16</v>
      </c>
      <c r="C493" t="s">
        <v>2407</v>
      </c>
      <c r="D493" t="s">
        <v>2408</v>
      </c>
      <c r="E493" t="s">
        <v>2409</v>
      </c>
      <c r="F493" t="s">
        <v>2410</v>
      </c>
      <c r="G493" t="s">
        <v>28</v>
      </c>
      <c r="H493" t="s">
        <v>28</v>
      </c>
      <c r="I493" t="s">
        <v>916</v>
      </c>
    </row>
    <row r="494" customHeight="1" spans="1:9">
      <c r="A494" t="s">
        <v>2265</v>
      </c>
      <c r="B494" t="s">
        <v>16</v>
      </c>
      <c r="C494" t="s">
        <v>2411</v>
      </c>
      <c r="D494" t="s">
        <v>2412</v>
      </c>
      <c r="E494" t="s">
        <v>2413</v>
      </c>
      <c r="F494" t="s">
        <v>2269</v>
      </c>
      <c r="G494" t="s">
        <v>2414</v>
      </c>
      <c r="H494" t="s">
        <v>28</v>
      </c>
      <c r="I494" t="s">
        <v>916</v>
      </c>
    </row>
    <row r="495" customHeight="1" spans="1:9">
      <c r="A495" t="s">
        <v>2265</v>
      </c>
      <c r="B495" t="s">
        <v>16</v>
      </c>
      <c r="C495" t="s">
        <v>2995</v>
      </c>
      <c r="D495" t="s">
        <v>2996</v>
      </c>
      <c r="E495" t="s">
        <v>2997</v>
      </c>
      <c r="F495" t="s">
        <v>2421</v>
      </c>
      <c r="G495" t="s">
        <v>28</v>
      </c>
      <c r="H495" t="s">
        <v>28</v>
      </c>
      <c r="I495" t="s">
        <v>916</v>
      </c>
    </row>
    <row r="496" customHeight="1" spans="1:9">
      <c r="A496" t="s">
        <v>2265</v>
      </c>
      <c r="B496" t="s">
        <v>16</v>
      </c>
      <c r="C496" t="s">
        <v>2422</v>
      </c>
      <c r="D496" t="s">
        <v>2423</v>
      </c>
      <c r="E496" t="s">
        <v>2424</v>
      </c>
      <c r="F496" t="s">
        <v>2269</v>
      </c>
      <c r="G496" t="s">
        <v>28</v>
      </c>
      <c r="H496" t="s">
        <v>28</v>
      </c>
      <c r="I496" t="s">
        <v>916</v>
      </c>
    </row>
    <row r="497" customHeight="1" spans="1:9">
      <c r="A497" t="s">
        <v>2265</v>
      </c>
      <c r="B497" t="s">
        <v>16</v>
      </c>
      <c r="C497" t="s">
        <v>3288</v>
      </c>
      <c r="D497" t="s">
        <v>3289</v>
      </c>
      <c r="E497" t="s">
        <v>3290</v>
      </c>
      <c r="F497" t="s">
        <v>2503</v>
      </c>
      <c r="G497" t="s">
        <v>28</v>
      </c>
      <c r="H497" t="s">
        <v>28</v>
      </c>
      <c r="I497" t="s">
        <v>916</v>
      </c>
    </row>
    <row r="498" customHeight="1" spans="1:9">
      <c r="A498" t="s">
        <v>2265</v>
      </c>
      <c r="B498" t="s">
        <v>16</v>
      </c>
      <c r="C498" t="s">
        <v>2998</v>
      </c>
      <c r="D498" t="s">
        <v>2999</v>
      </c>
      <c r="E498" t="s">
        <v>3000</v>
      </c>
      <c r="F498" t="s">
        <v>2613</v>
      </c>
      <c r="G498" t="s">
        <v>28</v>
      </c>
      <c r="H498" t="s">
        <v>28</v>
      </c>
      <c r="I498" t="s">
        <v>916</v>
      </c>
    </row>
    <row r="499" customHeight="1" spans="1:9">
      <c r="A499" t="s">
        <v>2265</v>
      </c>
      <c r="B499" t="s">
        <v>16</v>
      </c>
      <c r="C499" t="s">
        <v>2429</v>
      </c>
      <c r="D499" t="s">
        <v>2430</v>
      </c>
      <c r="E499" t="s">
        <v>2431</v>
      </c>
      <c r="F499" t="s">
        <v>2399</v>
      </c>
      <c r="G499" t="s">
        <v>28</v>
      </c>
      <c r="H499" t="s">
        <v>28</v>
      </c>
      <c r="I499" t="s">
        <v>916</v>
      </c>
    </row>
    <row r="500" customHeight="1" spans="1:9">
      <c r="A500" t="s">
        <v>2265</v>
      </c>
      <c r="B500" t="s">
        <v>16</v>
      </c>
      <c r="C500" t="s">
        <v>28</v>
      </c>
      <c r="D500" t="s">
        <v>2452</v>
      </c>
      <c r="E500" t="s">
        <v>2453</v>
      </c>
      <c r="F500" t="s">
        <v>2269</v>
      </c>
      <c r="G500" t="s">
        <v>28</v>
      </c>
      <c r="H500" t="s">
        <v>28</v>
      </c>
      <c r="I500" t="s">
        <v>916</v>
      </c>
    </row>
    <row r="501" customHeight="1" spans="1:9">
      <c r="A501" t="s">
        <v>2265</v>
      </c>
      <c r="B501" t="s">
        <v>16</v>
      </c>
      <c r="C501" t="s">
        <v>2457</v>
      </c>
      <c r="D501" t="s">
        <v>2458</v>
      </c>
      <c r="E501" t="s">
        <v>2459</v>
      </c>
      <c r="F501" t="s">
        <v>2460</v>
      </c>
      <c r="G501" t="s">
        <v>28</v>
      </c>
      <c r="H501" t="s">
        <v>28</v>
      </c>
      <c r="I501" t="s">
        <v>916</v>
      </c>
    </row>
    <row r="502" customHeight="1" spans="1:9">
      <c r="A502" t="s">
        <v>2265</v>
      </c>
      <c r="B502" t="s">
        <v>16</v>
      </c>
      <c r="C502" t="s">
        <v>3007</v>
      </c>
      <c r="D502" t="s">
        <v>3008</v>
      </c>
      <c r="E502" t="s">
        <v>3009</v>
      </c>
      <c r="F502" t="s">
        <v>585</v>
      </c>
      <c r="G502" t="s">
        <v>28</v>
      </c>
      <c r="H502" t="s">
        <v>28</v>
      </c>
      <c r="I502" t="s">
        <v>916</v>
      </c>
    </row>
    <row r="503" customHeight="1" spans="1:9">
      <c r="A503" t="s">
        <v>2265</v>
      </c>
      <c r="B503" t="s">
        <v>16</v>
      </c>
      <c r="C503" t="s">
        <v>2471</v>
      </c>
      <c r="D503" t="s">
        <v>2472</v>
      </c>
      <c r="E503" t="s">
        <v>2473</v>
      </c>
      <c r="F503" t="s">
        <v>585</v>
      </c>
      <c r="G503" t="s">
        <v>28</v>
      </c>
      <c r="H503" t="s">
        <v>28</v>
      </c>
      <c r="I503" t="s">
        <v>916</v>
      </c>
    </row>
    <row r="504" customHeight="1" spans="1:9">
      <c r="A504" t="s">
        <v>2265</v>
      </c>
      <c r="B504" t="s">
        <v>16</v>
      </c>
      <c r="C504" t="s">
        <v>2477</v>
      </c>
      <c r="D504" t="s">
        <v>2478</v>
      </c>
      <c r="E504" t="s">
        <v>2413</v>
      </c>
      <c r="F504" t="s">
        <v>2479</v>
      </c>
      <c r="G504" t="s">
        <v>28</v>
      </c>
      <c r="H504" t="s">
        <v>28</v>
      </c>
      <c r="I504" t="s">
        <v>916</v>
      </c>
    </row>
    <row r="505" customHeight="1" spans="1:9">
      <c r="A505" t="s">
        <v>2265</v>
      </c>
      <c r="B505" t="s">
        <v>16</v>
      </c>
      <c r="C505" t="s">
        <v>2480</v>
      </c>
      <c r="D505" t="s">
        <v>2481</v>
      </c>
      <c r="E505" t="s">
        <v>2413</v>
      </c>
      <c r="F505" t="s">
        <v>2482</v>
      </c>
      <c r="G505" t="s">
        <v>28</v>
      </c>
      <c r="H505" t="s">
        <v>28</v>
      </c>
      <c r="I505" t="s">
        <v>916</v>
      </c>
    </row>
    <row r="506" customHeight="1" spans="1:9">
      <c r="A506" t="s">
        <v>2265</v>
      </c>
      <c r="B506" t="s">
        <v>16</v>
      </c>
      <c r="C506" t="s">
        <v>3013</v>
      </c>
      <c r="D506" t="s">
        <v>3014</v>
      </c>
      <c r="E506" t="s">
        <v>3015</v>
      </c>
      <c r="F506" t="s">
        <v>3016</v>
      </c>
      <c r="G506" t="s">
        <v>28</v>
      </c>
      <c r="H506" t="s">
        <v>28</v>
      </c>
      <c r="I506" t="s">
        <v>916</v>
      </c>
    </row>
    <row r="507" customHeight="1" spans="1:9">
      <c r="A507" t="s">
        <v>2265</v>
      </c>
      <c r="B507" t="s">
        <v>16</v>
      </c>
      <c r="C507" t="s">
        <v>2486</v>
      </c>
      <c r="D507" t="s">
        <v>2487</v>
      </c>
      <c r="E507" t="s">
        <v>2424</v>
      </c>
      <c r="F507" t="s">
        <v>2488</v>
      </c>
      <c r="G507" t="s">
        <v>28</v>
      </c>
      <c r="H507" t="s">
        <v>28</v>
      </c>
      <c r="I507" t="s">
        <v>916</v>
      </c>
    </row>
    <row r="508" customHeight="1" spans="1:9">
      <c r="A508" t="s">
        <v>2265</v>
      </c>
      <c r="B508" t="s">
        <v>16</v>
      </c>
      <c r="C508" t="s">
        <v>2492</v>
      </c>
      <c r="D508" t="s">
        <v>2493</v>
      </c>
      <c r="E508" t="s">
        <v>2494</v>
      </c>
      <c r="F508" t="s">
        <v>2495</v>
      </c>
      <c r="G508" t="s">
        <v>28</v>
      </c>
      <c r="H508" t="s">
        <v>28</v>
      </c>
      <c r="I508" t="s">
        <v>916</v>
      </c>
    </row>
    <row r="509" customHeight="1" spans="1:9">
      <c r="A509" t="s">
        <v>2265</v>
      </c>
      <c r="B509" t="s">
        <v>16</v>
      </c>
      <c r="C509" t="s">
        <v>2496</v>
      </c>
      <c r="D509" t="s">
        <v>2497</v>
      </c>
      <c r="E509" t="s">
        <v>2498</v>
      </c>
      <c r="F509" t="s">
        <v>2499</v>
      </c>
      <c r="G509" t="s">
        <v>28</v>
      </c>
      <c r="H509" t="s">
        <v>28</v>
      </c>
      <c r="I509" t="s">
        <v>916</v>
      </c>
    </row>
    <row r="510" customHeight="1" spans="1:9">
      <c r="A510" t="s">
        <v>2265</v>
      </c>
      <c r="B510" t="s">
        <v>16</v>
      </c>
      <c r="C510" t="s">
        <v>2500</v>
      </c>
      <c r="D510" t="s">
        <v>2501</v>
      </c>
      <c r="E510" t="s">
        <v>2502</v>
      </c>
      <c r="F510" t="s">
        <v>2503</v>
      </c>
      <c r="G510" t="s">
        <v>28</v>
      </c>
      <c r="H510" t="s">
        <v>28</v>
      </c>
      <c r="I510" t="s">
        <v>916</v>
      </c>
    </row>
    <row r="511" customHeight="1" spans="1:9">
      <c r="A511" t="s">
        <v>2265</v>
      </c>
      <c r="B511" t="s">
        <v>16</v>
      </c>
      <c r="C511" t="s">
        <v>2508</v>
      </c>
      <c r="D511" t="s">
        <v>2509</v>
      </c>
      <c r="E511" t="s">
        <v>2510</v>
      </c>
      <c r="F511" t="s">
        <v>2301</v>
      </c>
      <c r="G511" t="s">
        <v>28</v>
      </c>
      <c r="H511" t="s">
        <v>28</v>
      </c>
      <c r="I511" t="s">
        <v>916</v>
      </c>
    </row>
    <row r="512" customHeight="1" spans="1:9">
      <c r="A512" t="s">
        <v>2265</v>
      </c>
      <c r="B512" t="s">
        <v>16</v>
      </c>
      <c r="C512" t="s">
        <v>3017</v>
      </c>
      <c r="D512" t="s">
        <v>3018</v>
      </c>
      <c r="E512" t="s">
        <v>3019</v>
      </c>
      <c r="F512" t="s">
        <v>2599</v>
      </c>
      <c r="G512" t="s">
        <v>28</v>
      </c>
      <c r="H512" t="s">
        <v>28</v>
      </c>
      <c r="I512" t="s">
        <v>916</v>
      </c>
    </row>
    <row r="513" customHeight="1" spans="1:9">
      <c r="A513" t="s">
        <v>2265</v>
      </c>
      <c r="B513" t="s">
        <v>16</v>
      </c>
      <c r="C513" t="s">
        <v>2511</v>
      </c>
      <c r="D513" t="s">
        <v>2512</v>
      </c>
      <c r="E513" t="s">
        <v>2513</v>
      </c>
      <c r="F513" t="s">
        <v>2514</v>
      </c>
      <c r="G513" t="s">
        <v>28</v>
      </c>
      <c r="H513" t="s">
        <v>28</v>
      </c>
      <c r="I513" t="s">
        <v>916</v>
      </c>
    </row>
    <row r="514" customHeight="1" spans="1:9">
      <c r="A514" t="s">
        <v>2265</v>
      </c>
      <c r="B514" t="s">
        <v>16</v>
      </c>
      <c r="C514" t="s">
        <v>2515</v>
      </c>
      <c r="D514" t="s">
        <v>2516</v>
      </c>
      <c r="E514" t="s">
        <v>2517</v>
      </c>
      <c r="F514" t="s">
        <v>2340</v>
      </c>
      <c r="G514" t="s">
        <v>28</v>
      </c>
      <c r="H514" t="s">
        <v>28</v>
      </c>
      <c r="I514" t="s">
        <v>916</v>
      </c>
    </row>
    <row r="515" customHeight="1" spans="1:9">
      <c r="A515" t="s">
        <v>2265</v>
      </c>
      <c r="B515" t="s">
        <v>16</v>
      </c>
      <c r="C515" t="s">
        <v>3291</v>
      </c>
      <c r="D515" t="s">
        <v>3292</v>
      </c>
      <c r="E515" t="s">
        <v>3293</v>
      </c>
      <c r="F515" t="s">
        <v>2332</v>
      </c>
      <c r="G515" t="s">
        <v>3294</v>
      </c>
      <c r="H515" t="s">
        <v>28</v>
      </c>
      <c r="I515" t="s">
        <v>916</v>
      </c>
    </row>
    <row r="516" customHeight="1" spans="1:9">
      <c r="A516" t="s">
        <v>2265</v>
      </c>
      <c r="B516" t="s">
        <v>16</v>
      </c>
      <c r="C516" t="s">
        <v>3023</v>
      </c>
      <c r="D516" t="s">
        <v>3024</v>
      </c>
      <c r="E516" t="s">
        <v>3025</v>
      </c>
      <c r="F516" t="s">
        <v>53</v>
      </c>
      <c r="G516" t="s">
        <v>3026</v>
      </c>
      <c r="H516" t="s">
        <v>28</v>
      </c>
      <c r="I516" t="s">
        <v>916</v>
      </c>
    </row>
    <row r="517" customHeight="1" spans="1:9">
      <c r="A517" t="s">
        <v>2265</v>
      </c>
      <c r="B517" t="s">
        <v>16</v>
      </c>
      <c r="C517" t="s">
        <v>3027</v>
      </c>
      <c r="D517" t="s">
        <v>3028</v>
      </c>
      <c r="E517" t="s">
        <v>3029</v>
      </c>
      <c r="F517" t="s">
        <v>2273</v>
      </c>
      <c r="G517" t="s">
        <v>28</v>
      </c>
      <c r="H517" t="s">
        <v>28</v>
      </c>
      <c r="I517" t="s">
        <v>916</v>
      </c>
    </row>
    <row r="518" customHeight="1" spans="1:9">
      <c r="A518" t="s">
        <v>2265</v>
      </c>
      <c r="B518" t="s">
        <v>16</v>
      </c>
      <c r="C518" t="s">
        <v>2518</v>
      </c>
      <c r="D518" t="s">
        <v>2519</v>
      </c>
      <c r="E518" t="s">
        <v>2520</v>
      </c>
      <c r="F518" t="s">
        <v>2521</v>
      </c>
      <c r="G518" t="s">
        <v>28</v>
      </c>
      <c r="H518" t="s">
        <v>28</v>
      </c>
      <c r="I518" t="s">
        <v>916</v>
      </c>
    </row>
    <row r="519" customHeight="1" spans="1:9">
      <c r="A519" t="s">
        <v>2265</v>
      </c>
      <c r="B519" t="s">
        <v>16</v>
      </c>
      <c r="C519" t="s">
        <v>2522</v>
      </c>
      <c r="D519" t="s">
        <v>2523</v>
      </c>
      <c r="E519" t="s">
        <v>2524</v>
      </c>
      <c r="F519" t="s">
        <v>2525</v>
      </c>
      <c r="G519" t="s">
        <v>28</v>
      </c>
      <c r="H519" t="s">
        <v>28</v>
      </c>
      <c r="I519" t="s">
        <v>916</v>
      </c>
    </row>
    <row r="520" customHeight="1" spans="1:9">
      <c r="A520" t="s">
        <v>2265</v>
      </c>
      <c r="B520" t="s">
        <v>16</v>
      </c>
      <c r="C520" t="s">
        <v>3030</v>
      </c>
      <c r="D520" t="s">
        <v>3031</v>
      </c>
      <c r="E520" t="s">
        <v>3032</v>
      </c>
      <c r="F520" t="s">
        <v>2830</v>
      </c>
      <c r="G520" t="s">
        <v>2633</v>
      </c>
      <c r="H520" t="s">
        <v>28</v>
      </c>
      <c r="I520" t="s">
        <v>916</v>
      </c>
    </row>
    <row r="521" customHeight="1" spans="1:9">
      <c r="A521" t="s">
        <v>2265</v>
      </c>
      <c r="B521" t="s">
        <v>16</v>
      </c>
      <c r="C521" t="s">
        <v>3033</v>
      </c>
      <c r="D521" t="s">
        <v>3034</v>
      </c>
      <c r="E521" t="s">
        <v>3035</v>
      </c>
      <c r="F521" t="s">
        <v>2728</v>
      </c>
      <c r="G521" t="s">
        <v>28</v>
      </c>
      <c r="H521" t="s">
        <v>28</v>
      </c>
      <c r="I521" t="s">
        <v>916</v>
      </c>
    </row>
    <row r="522" customHeight="1" spans="1:9">
      <c r="A522" t="s">
        <v>2265</v>
      </c>
      <c r="B522" t="s">
        <v>16</v>
      </c>
      <c r="C522" t="s">
        <v>3036</v>
      </c>
      <c r="D522" t="s">
        <v>3037</v>
      </c>
      <c r="E522" t="s">
        <v>3038</v>
      </c>
      <c r="F522" t="s">
        <v>2536</v>
      </c>
      <c r="G522" t="s">
        <v>28</v>
      </c>
      <c r="H522" t="s">
        <v>28</v>
      </c>
      <c r="I522" t="s">
        <v>916</v>
      </c>
    </row>
    <row r="523" customHeight="1" spans="1:9">
      <c r="A523" t="s">
        <v>2265</v>
      </c>
      <c r="B523" t="s">
        <v>16</v>
      </c>
      <c r="C523" t="s">
        <v>2529</v>
      </c>
      <c r="D523" t="s">
        <v>2530</v>
      </c>
      <c r="E523" t="s">
        <v>2531</v>
      </c>
      <c r="F523" t="s">
        <v>2532</v>
      </c>
      <c r="G523" t="s">
        <v>28</v>
      </c>
      <c r="H523" t="s">
        <v>28</v>
      </c>
      <c r="I523" t="s">
        <v>916</v>
      </c>
    </row>
    <row r="524" customHeight="1" spans="1:9">
      <c r="A524" t="s">
        <v>2265</v>
      </c>
      <c r="B524" t="s">
        <v>16</v>
      </c>
      <c r="C524" t="s">
        <v>2533</v>
      </c>
      <c r="D524" t="s">
        <v>2534</v>
      </c>
      <c r="E524" t="s">
        <v>2535</v>
      </c>
      <c r="F524" t="s">
        <v>2536</v>
      </c>
      <c r="G524" t="s">
        <v>28</v>
      </c>
      <c r="H524" t="s">
        <v>28</v>
      </c>
      <c r="I524" t="s">
        <v>916</v>
      </c>
    </row>
    <row r="525" customHeight="1" spans="1:9">
      <c r="A525" t="s">
        <v>2265</v>
      </c>
      <c r="B525" t="s">
        <v>16</v>
      </c>
      <c r="C525" t="s">
        <v>2547</v>
      </c>
      <c r="D525" t="s">
        <v>2548</v>
      </c>
      <c r="E525" t="s">
        <v>2549</v>
      </c>
      <c r="F525" t="s">
        <v>2550</v>
      </c>
      <c r="G525" t="s">
        <v>28</v>
      </c>
      <c r="H525" t="s">
        <v>28</v>
      </c>
      <c r="I525" t="s">
        <v>916</v>
      </c>
    </row>
    <row r="526" customHeight="1" spans="1:9">
      <c r="A526" t="s">
        <v>2265</v>
      </c>
      <c r="B526" t="s">
        <v>16</v>
      </c>
      <c r="C526" t="s">
        <v>2556</v>
      </c>
      <c r="D526" t="s">
        <v>2557</v>
      </c>
      <c r="E526" t="s">
        <v>2558</v>
      </c>
      <c r="F526" t="s">
        <v>2470</v>
      </c>
      <c r="G526" t="s">
        <v>2559</v>
      </c>
      <c r="H526" t="s">
        <v>28</v>
      </c>
      <c r="I526" t="s">
        <v>916</v>
      </c>
    </row>
    <row r="527" customHeight="1" spans="1:9">
      <c r="A527" t="s">
        <v>2265</v>
      </c>
      <c r="B527" t="s">
        <v>16</v>
      </c>
      <c r="C527" t="s">
        <v>2563</v>
      </c>
      <c r="D527" t="s">
        <v>2564</v>
      </c>
      <c r="E527" t="s">
        <v>2409</v>
      </c>
      <c r="F527" t="s">
        <v>2565</v>
      </c>
      <c r="G527" t="s">
        <v>28</v>
      </c>
      <c r="H527" t="s">
        <v>28</v>
      </c>
      <c r="I527" t="s">
        <v>916</v>
      </c>
    </row>
    <row r="528" customHeight="1" spans="1:9">
      <c r="A528" t="s">
        <v>2265</v>
      </c>
      <c r="B528" t="s">
        <v>16</v>
      </c>
      <c r="C528" t="s">
        <v>3039</v>
      </c>
      <c r="D528" t="s">
        <v>3040</v>
      </c>
      <c r="E528" t="s">
        <v>3041</v>
      </c>
      <c r="F528" t="s">
        <v>2653</v>
      </c>
      <c r="G528" t="s">
        <v>28</v>
      </c>
      <c r="H528" t="s">
        <v>28</v>
      </c>
      <c r="I528" t="s">
        <v>916</v>
      </c>
    </row>
    <row r="529" customHeight="1" spans="1:9">
      <c r="A529" t="s">
        <v>2265</v>
      </c>
      <c r="B529" t="s">
        <v>16</v>
      </c>
      <c r="C529" t="s">
        <v>2569</v>
      </c>
      <c r="D529" t="s">
        <v>2570</v>
      </c>
      <c r="E529" t="s">
        <v>2571</v>
      </c>
      <c r="F529" t="s">
        <v>2376</v>
      </c>
      <c r="G529" t="s">
        <v>28</v>
      </c>
      <c r="H529" t="s">
        <v>28</v>
      </c>
      <c r="I529" t="s">
        <v>916</v>
      </c>
    </row>
    <row r="530" customHeight="1" spans="1:9">
      <c r="A530" t="s">
        <v>2265</v>
      </c>
      <c r="B530" t="s">
        <v>16</v>
      </c>
      <c r="C530" t="s">
        <v>3045</v>
      </c>
      <c r="D530" t="s">
        <v>3046</v>
      </c>
      <c r="E530" t="s">
        <v>3047</v>
      </c>
      <c r="F530" t="s">
        <v>2351</v>
      </c>
      <c r="G530" t="s">
        <v>3048</v>
      </c>
      <c r="H530" t="s">
        <v>28</v>
      </c>
      <c r="I530" t="s">
        <v>916</v>
      </c>
    </row>
    <row r="531" customHeight="1" spans="1:9">
      <c r="A531" t="s">
        <v>2265</v>
      </c>
      <c r="B531" t="s">
        <v>16</v>
      </c>
      <c r="C531" t="s">
        <v>2580</v>
      </c>
      <c r="D531" t="s">
        <v>2581</v>
      </c>
      <c r="E531" t="s">
        <v>2582</v>
      </c>
      <c r="F531" t="s">
        <v>2470</v>
      </c>
      <c r="G531" t="s">
        <v>28</v>
      </c>
      <c r="H531" t="s">
        <v>28</v>
      </c>
      <c r="I531" t="s">
        <v>916</v>
      </c>
    </row>
    <row r="532" customHeight="1" spans="1:9">
      <c r="A532" t="s">
        <v>2265</v>
      </c>
      <c r="B532" t="s">
        <v>16</v>
      </c>
      <c r="C532" t="s">
        <v>2586</v>
      </c>
      <c r="D532" t="s">
        <v>2587</v>
      </c>
      <c r="E532" t="s">
        <v>2588</v>
      </c>
      <c r="F532" t="s">
        <v>2525</v>
      </c>
      <c r="G532" t="s">
        <v>28</v>
      </c>
      <c r="H532" t="s">
        <v>28</v>
      </c>
      <c r="I532" t="s">
        <v>916</v>
      </c>
    </row>
    <row r="533" customHeight="1" spans="1:9">
      <c r="A533" t="s">
        <v>2265</v>
      </c>
      <c r="B533" t="s">
        <v>16</v>
      </c>
      <c r="C533" t="s">
        <v>2589</v>
      </c>
      <c r="D533" t="s">
        <v>2590</v>
      </c>
      <c r="E533" t="s">
        <v>2591</v>
      </c>
      <c r="F533" t="s">
        <v>2470</v>
      </c>
      <c r="G533" t="s">
        <v>28</v>
      </c>
      <c r="H533" t="s">
        <v>28</v>
      </c>
      <c r="I533" t="s">
        <v>916</v>
      </c>
    </row>
    <row r="534" customHeight="1" spans="1:9">
      <c r="A534" t="s">
        <v>2265</v>
      </c>
      <c r="B534" t="s">
        <v>16</v>
      </c>
      <c r="C534" t="s">
        <v>3049</v>
      </c>
      <c r="D534" t="s">
        <v>3050</v>
      </c>
      <c r="E534" t="s">
        <v>3051</v>
      </c>
      <c r="F534" t="s">
        <v>2269</v>
      </c>
      <c r="G534" t="s">
        <v>28</v>
      </c>
      <c r="H534" t="s">
        <v>28</v>
      </c>
      <c r="I534" t="s">
        <v>916</v>
      </c>
    </row>
    <row r="535" customHeight="1" spans="1:9">
      <c r="A535" t="s">
        <v>2265</v>
      </c>
      <c r="B535" t="s">
        <v>16</v>
      </c>
      <c r="C535" t="s">
        <v>3058</v>
      </c>
      <c r="D535" t="s">
        <v>3059</v>
      </c>
      <c r="E535" t="s">
        <v>3060</v>
      </c>
      <c r="F535" t="s">
        <v>2554</v>
      </c>
      <c r="G535" t="s">
        <v>3061</v>
      </c>
      <c r="H535" t="s">
        <v>28</v>
      </c>
      <c r="I535" t="s">
        <v>916</v>
      </c>
    </row>
    <row r="536" customHeight="1" spans="1:9">
      <c r="A536" t="s">
        <v>2265</v>
      </c>
      <c r="B536" t="s">
        <v>16</v>
      </c>
      <c r="C536" t="s">
        <v>3295</v>
      </c>
      <c r="D536" t="s">
        <v>3296</v>
      </c>
      <c r="E536" t="s">
        <v>3297</v>
      </c>
      <c r="F536" t="s">
        <v>2554</v>
      </c>
      <c r="G536" t="s">
        <v>3298</v>
      </c>
      <c r="H536" t="s">
        <v>28</v>
      </c>
      <c r="I536" t="s">
        <v>916</v>
      </c>
    </row>
    <row r="537" customHeight="1" spans="1:9">
      <c r="A537" t="s">
        <v>2265</v>
      </c>
      <c r="B537" t="s">
        <v>16</v>
      </c>
      <c r="C537" t="s">
        <v>3062</v>
      </c>
      <c r="D537" t="s">
        <v>3063</v>
      </c>
      <c r="E537" t="s">
        <v>3064</v>
      </c>
      <c r="F537" t="s">
        <v>2532</v>
      </c>
      <c r="G537" t="s">
        <v>28</v>
      </c>
      <c r="H537" t="s">
        <v>28</v>
      </c>
      <c r="I537" t="s">
        <v>916</v>
      </c>
    </row>
    <row r="538" customHeight="1" spans="1:9">
      <c r="A538" t="s">
        <v>2265</v>
      </c>
      <c r="B538" t="s">
        <v>16</v>
      </c>
      <c r="C538" t="s">
        <v>3068</v>
      </c>
      <c r="D538" t="s">
        <v>3069</v>
      </c>
      <c r="E538" t="s">
        <v>3070</v>
      </c>
      <c r="F538" t="s">
        <v>3071</v>
      </c>
      <c r="G538" t="s">
        <v>3072</v>
      </c>
      <c r="H538" t="s">
        <v>28</v>
      </c>
      <c r="I538" t="s">
        <v>916</v>
      </c>
    </row>
    <row r="539" customHeight="1" spans="1:9">
      <c r="A539" t="s">
        <v>2265</v>
      </c>
      <c r="B539" t="s">
        <v>16</v>
      </c>
      <c r="C539" t="s">
        <v>2620</v>
      </c>
      <c r="D539" t="s">
        <v>2621</v>
      </c>
      <c r="E539" t="s">
        <v>2622</v>
      </c>
      <c r="F539" t="s">
        <v>2301</v>
      </c>
      <c r="G539" t="s">
        <v>28</v>
      </c>
      <c r="H539" t="s">
        <v>28</v>
      </c>
      <c r="I539" t="s">
        <v>916</v>
      </c>
    </row>
    <row r="540" customHeight="1" spans="1:9">
      <c r="A540" t="s">
        <v>2265</v>
      </c>
      <c r="B540" t="s">
        <v>16</v>
      </c>
      <c r="C540" t="s">
        <v>3073</v>
      </c>
      <c r="D540" t="s">
        <v>3074</v>
      </c>
      <c r="E540" t="s">
        <v>3075</v>
      </c>
      <c r="F540" t="s">
        <v>2305</v>
      </c>
      <c r="G540" t="s">
        <v>28</v>
      </c>
      <c r="H540" t="s">
        <v>28</v>
      </c>
      <c r="I540" t="s">
        <v>916</v>
      </c>
    </row>
    <row r="541" customHeight="1" spans="1:9">
      <c r="A541" t="s">
        <v>2265</v>
      </c>
      <c r="B541" t="s">
        <v>16</v>
      </c>
      <c r="C541" t="s">
        <v>3076</v>
      </c>
      <c r="D541" t="s">
        <v>3077</v>
      </c>
      <c r="E541" t="s">
        <v>3078</v>
      </c>
      <c r="F541" t="s">
        <v>2344</v>
      </c>
      <c r="G541" t="s">
        <v>28</v>
      </c>
      <c r="H541" t="s">
        <v>28</v>
      </c>
      <c r="I541" t="s">
        <v>916</v>
      </c>
    </row>
    <row r="542" customHeight="1" spans="1:9">
      <c r="A542" t="s">
        <v>2265</v>
      </c>
      <c r="B542" t="s">
        <v>16</v>
      </c>
      <c r="C542" t="s">
        <v>3079</v>
      </c>
      <c r="D542" t="s">
        <v>3080</v>
      </c>
      <c r="E542" t="s">
        <v>3081</v>
      </c>
      <c r="F542" t="s">
        <v>2292</v>
      </c>
      <c r="G542" t="s">
        <v>28</v>
      </c>
      <c r="H542" t="s">
        <v>28</v>
      </c>
      <c r="I542" t="s">
        <v>916</v>
      </c>
    </row>
    <row r="543" customHeight="1" spans="1:9">
      <c r="A543" t="s">
        <v>2265</v>
      </c>
      <c r="B543" t="s">
        <v>16</v>
      </c>
      <c r="C543" t="s">
        <v>3085</v>
      </c>
      <c r="D543" t="s">
        <v>3086</v>
      </c>
      <c r="E543" t="s">
        <v>3087</v>
      </c>
      <c r="F543" t="s">
        <v>2301</v>
      </c>
      <c r="G543" t="s">
        <v>3088</v>
      </c>
      <c r="H543" t="s">
        <v>28</v>
      </c>
      <c r="I543" t="s">
        <v>916</v>
      </c>
    </row>
    <row r="544" customHeight="1" spans="1:9">
      <c r="A544" t="s">
        <v>2265</v>
      </c>
      <c r="B544" t="s">
        <v>16</v>
      </c>
      <c r="C544" t="s">
        <v>3093</v>
      </c>
      <c r="D544" t="s">
        <v>3094</v>
      </c>
      <c r="E544" t="s">
        <v>3095</v>
      </c>
      <c r="F544" t="s">
        <v>2325</v>
      </c>
      <c r="G544" t="s">
        <v>28</v>
      </c>
      <c r="H544" t="s">
        <v>28</v>
      </c>
      <c r="I544" t="s">
        <v>916</v>
      </c>
    </row>
    <row r="545" customHeight="1" spans="1:9">
      <c r="A545" t="s">
        <v>2265</v>
      </c>
      <c r="B545" t="s">
        <v>16</v>
      </c>
      <c r="C545" t="s">
        <v>3099</v>
      </c>
      <c r="D545" t="s">
        <v>3097</v>
      </c>
      <c r="E545" t="s">
        <v>3100</v>
      </c>
      <c r="F545" t="s">
        <v>2499</v>
      </c>
      <c r="G545" t="s">
        <v>28</v>
      </c>
      <c r="H545" t="s">
        <v>28</v>
      </c>
      <c r="I545" t="s">
        <v>916</v>
      </c>
    </row>
    <row r="546" customHeight="1" spans="1:9">
      <c r="A546" t="s">
        <v>2265</v>
      </c>
      <c r="B546" t="s">
        <v>16</v>
      </c>
      <c r="C546" t="s">
        <v>3101</v>
      </c>
      <c r="D546" t="s">
        <v>3097</v>
      </c>
      <c r="E546" t="s">
        <v>3102</v>
      </c>
      <c r="F546" t="s">
        <v>2392</v>
      </c>
      <c r="G546" t="s">
        <v>28</v>
      </c>
      <c r="H546" t="s">
        <v>28</v>
      </c>
      <c r="I546" t="s">
        <v>916</v>
      </c>
    </row>
    <row r="547" customHeight="1" spans="1:9">
      <c r="A547" t="s">
        <v>2265</v>
      </c>
      <c r="B547" t="s">
        <v>16</v>
      </c>
      <c r="C547" t="s">
        <v>3103</v>
      </c>
      <c r="D547" t="s">
        <v>3104</v>
      </c>
      <c r="E547" t="s">
        <v>3105</v>
      </c>
      <c r="F547" t="s">
        <v>2595</v>
      </c>
      <c r="G547" t="s">
        <v>28</v>
      </c>
      <c r="H547" t="s">
        <v>28</v>
      </c>
      <c r="I547" t="s">
        <v>916</v>
      </c>
    </row>
    <row r="548" customHeight="1" spans="1:9">
      <c r="A548" t="s">
        <v>2265</v>
      </c>
      <c r="B548" t="s">
        <v>16</v>
      </c>
      <c r="C548" t="s">
        <v>3106</v>
      </c>
      <c r="D548" t="s">
        <v>3107</v>
      </c>
      <c r="E548" t="s">
        <v>3108</v>
      </c>
      <c r="F548" t="s">
        <v>2676</v>
      </c>
      <c r="G548" t="s">
        <v>28</v>
      </c>
      <c r="H548" t="s">
        <v>28</v>
      </c>
      <c r="I548" t="s">
        <v>916</v>
      </c>
    </row>
    <row r="549" customHeight="1" spans="1:9">
      <c r="A549" t="s">
        <v>2265</v>
      </c>
      <c r="B549" t="s">
        <v>16</v>
      </c>
      <c r="C549" t="s">
        <v>3299</v>
      </c>
      <c r="D549" t="s">
        <v>3300</v>
      </c>
      <c r="E549" t="s">
        <v>3301</v>
      </c>
      <c r="F549" t="s">
        <v>2351</v>
      </c>
      <c r="G549" t="s">
        <v>28</v>
      </c>
      <c r="H549" t="s">
        <v>28</v>
      </c>
      <c r="I549" t="s">
        <v>916</v>
      </c>
    </row>
    <row r="550" customHeight="1" spans="1:9">
      <c r="A550" t="s">
        <v>2265</v>
      </c>
      <c r="B550" t="s">
        <v>16</v>
      </c>
      <c r="C550" t="s">
        <v>3112</v>
      </c>
      <c r="D550" t="s">
        <v>3113</v>
      </c>
      <c r="E550" t="s">
        <v>3114</v>
      </c>
      <c r="F550" t="s">
        <v>2273</v>
      </c>
      <c r="G550" t="s">
        <v>28</v>
      </c>
      <c r="H550" t="s">
        <v>28</v>
      </c>
      <c r="I550" t="s">
        <v>916</v>
      </c>
    </row>
    <row r="551" customHeight="1" spans="1:9">
      <c r="A551" t="s">
        <v>2265</v>
      </c>
      <c r="B551" t="s">
        <v>16</v>
      </c>
      <c r="C551" t="s">
        <v>3118</v>
      </c>
      <c r="D551" t="s">
        <v>3119</v>
      </c>
      <c r="E551" t="s">
        <v>3120</v>
      </c>
      <c r="F551" t="s">
        <v>3121</v>
      </c>
      <c r="G551" t="s">
        <v>28</v>
      </c>
      <c r="H551" t="s">
        <v>28</v>
      </c>
      <c r="I551" t="s">
        <v>916</v>
      </c>
    </row>
    <row r="552" customHeight="1" spans="1:9">
      <c r="A552" t="s">
        <v>2265</v>
      </c>
      <c r="B552" t="s">
        <v>16</v>
      </c>
      <c r="C552" t="s">
        <v>3122</v>
      </c>
      <c r="D552" t="s">
        <v>3123</v>
      </c>
      <c r="E552" t="s">
        <v>3124</v>
      </c>
      <c r="F552" t="s">
        <v>2532</v>
      </c>
      <c r="G552" t="s">
        <v>28</v>
      </c>
      <c r="H552" t="s">
        <v>28</v>
      </c>
      <c r="I552" t="s">
        <v>916</v>
      </c>
    </row>
    <row r="553" customHeight="1" spans="1:9">
      <c r="A553" t="s">
        <v>2265</v>
      </c>
      <c r="B553" t="s">
        <v>16</v>
      </c>
      <c r="C553" t="s">
        <v>2640</v>
      </c>
      <c r="D553" t="s">
        <v>2641</v>
      </c>
      <c r="E553" t="s">
        <v>2642</v>
      </c>
      <c r="F553" t="s">
        <v>2325</v>
      </c>
      <c r="G553" t="s">
        <v>2643</v>
      </c>
      <c r="H553" t="s">
        <v>28</v>
      </c>
      <c r="I553" t="s">
        <v>916</v>
      </c>
    </row>
    <row r="554" customHeight="1" spans="1:9">
      <c r="A554" t="s">
        <v>2265</v>
      </c>
      <c r="B554" t="s">
        <v>16</v>
      </c>
      <c r="C554" t="s">
        <v>3125</v>
      </c>
      <c r="D554" t="s">
        <v>3126</v>
      </c>
      <c r="E554" t="s">
        <v>3127</v>
      </c>
      <c r="F554" t="s">
        <v>2833</v>
      </c>
      <c r="G554" t="s">
        <v>28</v>
      </c>
      <c r="H554" t="s">
        <v>28</v>
      </c>
      <c r="I554" t="s">
        <v>916</v>
      </c>
    </row>
    <row r="555" customHeight="1" spans="1:9">
      <c r="A555" t="s">
        <v>2265</v>
      </c>
      <c r="B555" t="s">
        <v>16</v>
      </c>
      <c r="C555" t="s">
        <v>3128</v>
      </c>
      <c r="D555" t="s">
        <v>3129</v>
      </c>
      <c r="E555" t="s">
        <v>3130</v>
      </c>
      <c r="F555" t="s">
        <v>53</v>
      </c>
      <c r="G555" t="s">
        <v>3131</v>
      </c>
      <c r="H555" t="s">
        <v>28</v>
      </c>
      <c r="I555" t="s">
        <v>916</v>
      </c>
    </row>
    <row r="556" customHeight="1" spans="1:9">
      <c r="A556" t="s">
        <v>2265</v>
      </c>
      <c r="B556" t="s">
        <v>16</v>
      </c>
      <c r="C556" t="s">
        <v>2647</v>
      </c>
      <c r="D556" t="s">
        <v>2648</v>
      </c>
      <c r="E556" t="s">
        <v>2649</v>
      </c>
      <c r="F556" t="s">
        <v>2532</v>
      </c>
      <c r="G556" t="s">
        <v>28</v>
      </c>
      <c r="H556" t="s">
        <v>28</v>
      </c>
      <c r="I556" t="s">
        <v>916</v>
      </c>
    </row>
    <row r="557" customHeight="1" spans="1:9">
      <c r="A557" t="s">
        <v>2265</v>
      </c>
      <c r="B557" t="s">
        <v>16</v>
      </c>
      <c r="C557" t="s">
        <v>3302</v>
      </c>
      <c r="D557" t="s">
        <v>2651</v>
      </c>
      <c r="E557" t="s">
        <v>3303</v>
      </c>
      <c r="F557" t="s">
        <v>3071</v>
      </c>
      <c r="G557" t="s">
        <v>3304</v>
      </c>
      <c r="H557" t="s">
        <v>28</v>
      </c>
      <c r="I557" t="s">
        <v>916</v>
      </c>
    </row>
    <row r="558" customHeight="1" spans="1:9">
      <c r="A558" t="s">
        <v>2265</v>
      </c>
      <c r="B558" t="s">
        <v>16</v>
      </c>
      <c r="C558" t="s">
        <v>2656</v>
      </c>
      <c r="D558" t="s">
        <v>2657</v>
      </c>
      <c r="E558" t="s">
        <v>2658</v>
      </c>
      <c r="F558" t="s">
        <v>2428</v>
      </c>
      <c r="G558" t="s">
        <v>28</v>
      </c>
      <c r="H558" t="s">
        <v>28</v>
      </c>
      <c r="I558" t="s">
        <v>916</v>
      </c>
    </row>
    <row r="559" customHeight="1" spans="1:9">
      <c r="A559" t="s">
        <v>2265</v>
      </c>
      <c r="B559" t="s">
        <v>16</v>
      </c>
      <c r="C559" t="s">
        <v>2663</v>
      </c>
      <c r="D559" t="s">
        <v>2664</v>
      </c>
      <c r="E559" t="s">
        <v>2665</v>
      </c>
      <c r="F559" t="s">
        <v>2351</v>
      </c>
      <c r="G559" t="s">
        <v>28</v>
      </c>
      <c r="H559" t="s">
        <v>28</v>
      </c>
      <c r="I559" t="s">
        <v>916</v>
      </c>
    </row>
    <row r="560" customHeight="1" spans="1:9">
      <c r="A560" t="s">
        <v>2265</v>
      </c>
      <c r="B560" t="s">
        <v>16</v>
      </c>
      <c r="C560" t="s">
        <v>3135</v>
      </c>
      <c r="D560" t="s">
        <v>3136</v>
      </c>
      <c r="E560" t="s">
        <v>3137</v>
      </c>
      <c r="F560" t="s">
        <v>2301</v>
      </c>
      <c r="G560" t="s">
        <v>28</v>
      </c>
      <c r="H560" t="s">
        <v>28</v>
      </c>
      <c r="I560" t="s">
        <v>916</v>
      </c>
    </row>
    <row r="561" customHeight="1" spans="1:9">
      <c r="A561" t="s">
        <v>2265</v>
      </c>
      <c r="B561" t="s">
        <v>16</v>
      </c>
      <c r="C561" t="s">
        <v>3305</v>
      </c>
      <c r="D561" t="s">
        <v>3306</v>
      </c>
      <c r="E561" t="s">
        <v>3307</v>
      </c>
      <c r="F561" t="s">
        <v>2269</v>
      </c>
      <c r="G561" t="s">
        <v>28</v>
      </c>
      <c r="H561" t="s">
        <v>28</v>
      </c>
      <c r="I561" t="s">
        <v>916</v>
      </c>
    </row>
    <row r="562" customHeight="1" spans="1:9">
      <c r="A562" t="s">
        <v>2265</v>
      </c>
      <c r="B562" t="s">
        <v>16</v>
      </c>
      <c r="C562" t="s">
        <v>2686</v>
      </c>
      <c r="D562" t="s">
        <v>2687</v>
      </c>
      <c r="E562" t="s">
        <v>2688</v>
      </c>
      <c r="F562" t="s">
        <v>2689</v>
      </c>
      <c r="G562" t="s">
        <v>28</v>
      </c>
      <c r="H562" t="s">
        <v>28</v>
      </c>
      <c r="I562" t="s">
        <v>916</v>
      </c>
    </row>
    <row r="563" customHeight="1" spans="1:9">
      <c r="A563" t="s">
        <v>2265</v>
      </c>
      <c r="B563" t="s">
        <v>16</v>
      </c>
      <c r="C563" t="s">
        <v>3141</v>
      </c>
      <c r="D563" t="s">
        <v>3142</v>
      </c>
      <c r="E563" t="s">
        <v>3143</v>
      </c>
      <c r="F563" t="s">
        <v>2689</v>
      </c>
      <c r="G563" t="s">
        <v>28</v>
      </c>
      <c r="H563" t="s">
        <v>28</v>
      </c>
      <c r="I563" t="s">
        <v>916</v>
      </c>
    </row>
    <row r="564" customHeight="1" spans="1:9">
      <c r="A564" t="s">
        <v>2265</v>
      </c>
      <c r="B564" t="s">
        <v>16</v>
      </c>
      <c r="C564" t="s">
        <v>2690</v>
      </c>
      <c r="D564" t="s">
        <v>2691</v>
      </c>
      <c r="E564" t="s">
        <v>2692</v>
      </c>
      <c r="F564" t="s">
        <v>2689</v>
      </c>
      <c r="G564" t="s">
        <v>28</v>
      </c>
      <c r="H564" t="s">
        <v>28</v>
      </c>
      <c r="I564" t="s">
        <v>916</v>
      </c>
    </row>
    <row r="565" customHeight="1" spans="1:9">
      <c r="A565" t="s">
        <v>2265</v>
      </c>
      <c r="B565" t="s">
        <v>16</v>
      </c>
      <c r="C565" t="s">
        <v>2693</v>
      </c>
      <c r="D565" t="s">
        <v>2694</v>
      </c>
      <c r="E565" t="s">
        <v>2695</v>
      </c>
      <c r="F565" t="s">
        <v>2536</v>
      </c>
      <c r="G565" t="s">
        <v>28</v>
      </c>
      <c r="H565" t="s">
        <v>28</v>
      </c>
      <c r="I565" t="s">
        <v>916</v>
      </c>
    </row>
    <row r="566" customHeight="1" spans="1:9">
      <c r="A566" t="s">
        <v>2265</v>
      </c>
      <c r="B566" t="s">
        <v>16</v>
      </c>
      <c r="C566" t="s">
        <v>3308</v>
      </c>
      <c r="D566" t="s">
        <v>3309</v>
      </c>
      <c r="E566" t="s">
        <v>3310</v>
      </c>
      <c r="F566" t="s">
        <v>2344</v>
      </c>
      <c r="G566" t="s">
        <v>28</v>
      </c>
      <c r="H566" t="s">
        <v>28</v>
      </c>
      <c r="I566" t="s">
        <v>916</v>
      </c>
    </row>
    <row r="567" customHeight="1" spans="1:9">
      <c r="A567" t="s">
        <v>2265</v>
      </c>
      <c r="B567" t="s">
        <v>16</v>
      </c>
      <c r="C567" t="s">
        <v>3144</v>
      </c>
      <c r="D567" t="s">
        <v>3145</v>
      </c>
      <c r="E567" t="s">
        <v>3146</v>
      </c>
      <c r="F567" t="s">
        <v>2305</v>
      </c>
      <c r="G567" t="s">
        <v>3147</v>
      </c>
      <c r="H567" t="s">
        <v>28</v>
      </c>
      <c r="I567" t="s">
        <v>916</v>
      </c>
    </row>
    <row r="568" customHeight="1" spans="1:9">
      <c r="A568" t="s">
        <v>2265</v>
      </c>
      <c r="B568" t="s">
        <v>16</v>
      </c>
      <c r="C568" t="s">
        <v>2696</v>
      </c>
      <c r="D568" t="s">
        <v>2697</v>
      </c>
      <c r="E568" t="s">
        <v>2698</v>
      </c>
      <c r="F568" t="s">
        <v>2344</v>
      </c>
      <c r="G568" t="s">
        <v>28</v>
      </c>
      <c r="H568" t="s">
        <v>28</v>
      </c>
      <c r="I568" t="s">
        <v>916</v>
      </c>
    </row>
    <row r="569" customHeight="1" spans="1:9">
      <c r="A569" t="s">
        <v>2265</v>
      </c>
      <c r="B569" t="s">
        <v>16</v>
      </c>
      <c r="C569" t="s">
        <v>2699</v>
      </c>
      <c r="D569" t="s">
        <v>2700</v>
      </c>
      <c r="E569" t="s">
        <v>2701</v>
      </c>
      <c r="F569" t="s">
        <v>2499</v>
      </c>
      <c r="G569" t="s">
        <v>28</v>
      </c>
      <c r="H569" t="s">
        <v>28</v>
      </c>
      <c r="I569" t="s">
        <v>916</v>
      </c>
    </row>
    <row r="570" customHeight="1" spans="1:9">
      <c r="A570" t="s">
        <v>2265</v>
      </c>
      <c r="B570" t="s">
        <v>16</v>
      </c>
      <c r="C570" t="s">
        <v>2702</v>
      </c>
      <c r="D570" t="s">
        <v>2703</v>
      </c>
      <c r="E570" t="s">
        <v>2704</v>
      </c>
      <c r="F570" t="s">
        <v>2705</v>
      </c>
      <c r="G570" t="s">
        <v>2706</v>
      </c>
      <c r="H570" t="s">
        <v>28</v>
      </c>
      <c r="I570" t="s">
        <v>916</v>
      </c>
    </row>
    <row r="571" customHeight="1" spans="1:9">
      <c r="A571" t="s">
        <v>2265</v>
      </c>
      <c r="B571" t="s">
        <v>16</v>
      </c>
      <c r="C571" t="s">
        <v>3148</v>
      </c>
      <c r="D571" t="s">
        <v>3149</v>
      </c>
      <c r="E571" t="s">
        <v>3150</v>
      </c>
      <c r="F571" t="s">
        <v>2325</v>
      </c>
      <c r="G571" t="s">
        <v>28</v>
      </c>
      <c r="H571" t="s">
        <v>28</v>
      </c>
      <c r="I571" t="s">
        <v>916</v>
      </c>
    </row>
    <row r="572" customHeight="1" spans="1:9">
      <c r="A572" t="s">
        <v>2265</v>
      </c>
      <c r="B572" t="s">
        <v>16</v>
      </c>
      <c r="C572" t="s">
        <v>2707</v>
      </c>
      <c r="D572" t="s">
        <v>2708</v>
      </c>
      <c r="E572" t="s">
        <v>2709</v>
      </c>
      <c r="F572" t="s">
        <v>2376</v>
      </c>
      <c r="G572" t="s">
        <v>28</v>
      </c>
      <c r="H572" t="s">
        <v>28</v>
      </c>
      <c r="I572" t="s">
        <v>916</v>
      </c>
    </row>
    <row r="573" customHeight="1" spans="1:9">
      <c r="A573" t="s">
        <v>2265</v>
      </c>
      <c r="B573" t="s">
        <v>16</v>
      </c>
      <c r="C573" t="s">
        <v>2716</v>
      </c>
      <c r="D573" t="s">
        <v>2717</v>
      </c>
      <c r="E573" t="s">
        <v>2718</v>
      </c>
      <c r="F573" t="s">
        <v>2325</v>
      </c>
      <c r="G573" t="s">
        <v>28</v>
      </c>
      <c r="H573" t="s">
        <v>28</v>
      </c>
      <c r="I573" t="s">
        <v>916</v>
      </c>
    </row>
    <row r="574" customHeight="1" spans="1:9">
      <c r="A574" t="s">
        <v>2265</v>
      </c>
      <c r="B574" t="s">
        <v>16</v>
      </c>
      <c r="C574" t="s">
        <v>2719</v>
      </c>
      <c r="D574" t="s">
        <v>2720</v>
      </c>
      <c r="E574" t="s">
        <v>2721</v>
      </c>
      <c r="F574" t="s">
        <v>2301</v>
      </c>
      <c r="G574" t="s">
        <v>28</v>
      </c>
      <c r="H574" t="s">
        <v>28</v>
      </c>
      <c r="I574" t="s">
        <v>916</v>
      </c>
    </row>
    <row r="575" customHeight="1" spans="1:9">
      <c r="A575" t="s">
        <v>2265</v>
      </c>
      <c r="B575" t="s">
        <v>16</v>
      </c>
      <c r="C575" t="s">
        <v>2722</v>
      </c>
      <c r="D575" t="s">
        <v>2723</v>
      </c>
      <c r="E575" t="s">
        <v>2724</v>
      </c>
      <c r="F575" t="s">
        <v>2301</v>
      </c>
      <c r="G575" t="s">
        <v>28</v>
      </c>
      <c r="H575" t="s">
        <v>28</v>
      </c>
      <c r="I575" t="s">
        <v>916</v>
      </c>
    </row>
    <row r="576" customHeight="1" spans="1:9">
      <c r="A576" t="s">
        <v>2265</v>
      </c>
      <c r="B576" t="s">
        <v>16</v>
      </c>
      <c r="C576" t="s">
        <v>2725</v>
      </c>
      <c r="D576" t="s">
        <v>2726</v>
      </c>
      <c r="E576" t="s">
        <v>2727</v>
      </c>
      <c r="F576" t="s">
        <v>2728</v>
      </c>
      <c r="G576" t="s">
        <v>28</v>
      </c>
      <c r="H576" t="s">
        <v>28</v>
      </c>
      <c r="I576" t="s">
        <v>916</v>
      </c>
    </row>
    <row r="577" customHeight="1" spans="1:9">
      <c r="A577" t="s">
        <v>2265</v>
      </c>
      <c r="B577" t="s">
        <v>16</v>
      </c>
      <c r="C577" t="s">
        <v>2735</v>
      </c>
      <c r="D577" t="s">
        <v>2736</v>
      </c>
      <c r="E577" t="s">
        <v>2737</v>
      </c>
      <c r="F577" t="s">
        <v>2269</v>
      </c>
      <c r="G577" t="s">
        <v>28</v>
      </c>
      <c r="H577" t="s">
        <v>28</v>
      </c>
      <c r="I577" t="s">
        <v>916</v>
      </c>
    </row>
    <row r="578" customHeight="1" spans="1:9">
      <c r="A578" t="s">
        <v>2265</v>
      </c>
      <c r="B578" t="s">
        <v>16</v>
      </c>
      <c r="C578" t="s">
        <v>3157</v>
      </c>
      <c r="D578" t="s">
        <v>3158</v>
      </c>
      <c r="E578" t="s">
        <v>3159</v>
      </c>
      <c r="F578" t="s">
        <v>2380</v>
      </c>
      <c r="G578" t="s">
        <v>3160</v>
      </c>
      <c r="H578" t="s">
        <v>28</v>
      </c>
      <c r="I578" t="s">
        <v>916</v>
      </c>
    </row>
    <row r="579" customHeight="1" spans="1:9">
      <c r="A579" t="s">
        <v>2265</v>
      </c>
      <c r="B579" t="s">
        <v>16</v>
      </c>
      <c r="C579" t="s">
        <v>3311</v>
      </c>
      <c r="D579" t="s">
        <v>3312</v>
      </c>
      <c r="E579" t="s">
        <v>3267</v>
      </c>
      <c r="F579" t="s">
        <v>2532</v>
      </c>
      <c r="G579" t="s">
        <v>28</v>
      </c>
      <c r="H579" t="s">
        <v>28</v>
      </c>
      <c r="I579" t="s">
        <v>916</v>
      </c>
    </row>
    <row r="580" customHeight="1" spans="1:9">
      <c r="A580" t="s">
        <v>2265</v>
      </c>
      <c r="B580" t="s">
        <v>16</v>
      </c>
      <c r="C580" t="s">
        <v>2741</v>
      </c>
      <c r="D580" t="s">
        <v>2742</v>
      </c>
      <c r="E580" t="s">
        <v>2743</v>
      </c>
      <c r="F580" t="s">
        <v>2269</v>
      </c>
      <c r="G580" t="s">
        <v>28</v>
      </c>
      <c r="H580" t="s">
        <v>28</v>
      </c>
      <c r="I580" t="s">
        <v>916</v>
      </c>
    </row>
    <row r="581" customHeight="1" spans="1:9">
      <c r="A581" t="s">
        <v>2265</v>
      </c>
      <c r="B581" t="s">
        <v>16</v>
      </c>
      <c r="C581" t="s">
        <v>2744</v>
      </c>
      <c r="D581" t="s">
        <v>2745</v>
      </c>
      <c r="E581" t="s">
        <v>2746</v>
      </c>
      <c r="F581" t="s">
        <v>2344</v>
      </c>
      <c r="G581" t="s">
        <v>28</v>
      </c>
      <c r="H581" t="s">
        <v>28</v>
      </c>
      <c r="I581" t="s">
        <v>916</v>
      </c>
    </row>
    <row r="582" customHeight="1" spans="1:9">
      <c r="A582" t="s">
        <v>2265</v>
      </c>
      <c r="B582" t="s">
        <v>16</v>
      </c>
      <c r="C582" t="s">
        <v>3161</v>
      </c>
      <c r="D582" t="s">
        <v>3162</v>
      </c>
      <c r="E582" t="s">
        <v>3163</v>
      </c>
      <c r="F582" t="s">
        <v>2532</v>
      </c>
      <c r="G582" t="s">
        <v>28</v>
      </c>
      <c r="H582" t="s">
        <v>28</v>
      </c>
      <c r="I582" t="s">
        <v>916</v>
      </c>
    </row>
    <row r="583" customHeight="1" spans="1:9">
      <c r="A583" t="s">
        <v>2265</v>
      </c>
      <c r="B583" t="s">
        <v>16</v>
      </c>
      <c r="C583" t="s">
        <v>2754</v>
      </c>
      <c r="D583" t="s">
        <v>2755</v>
      </c>
      <c r="E583" t="s">
        <v>2756</v>
      </c>
      <c r="F583" t="s">
        <v>2428</v>
      </c>
      <c r="G583" t="s">
        <v>2757</v>
      </c>
      <c r="H583" t="s">
        <v>28</v>
      </c>
      <c r="I583" t="s">
        <v>916</v>
      </c>
    </row>
    <row r="584" customHeight="1" spans="1:9">
      <c r="A584" t="s">
        <v>2265</v>
      </c>
      <c r="B584" t="s">
        <v>16</v>
      </c>
      <c r="C584" t="s">
        <v>3167</v>
      </c>
      <c r="D584" t="s">
        <v>3168</v>
      </c>
      <c r="E584" t="s">
        <v>3169</v>
      </c>
      <c r="F584" t="s">
        <v>2344</v>
      </c>
      <c r="G584" t="s">
        <v>28</v>
      </c>
      <c r="H584" t="s">
        <v>28</v>
      </c>
      <c r="I584" t="s">
        <v>916</v>
      </c>
    </row>
    <row r="585" customHeight="1" spans="1:9">
      <c r="A585" t="s">
        <v>2265</v>
      </c>
      <c r="B585" t="s">
        <v>16</v>
      </c>
      <c r="C585" t="s">
        <v>3313</v>
      </c>
      <c r="D585" t="s">
        <v>3314</v>
      </c>
      <c r="E585" t="s">
        <v>3315</v>
      </c>
      <c r="F585" t="s">
        <v>2626</v>
      </c>
      <c r="G585" t="s">
        <v>28</v>
      </c>
      <c r="H585" t="s">
        <v>28</v>
      </c>
      <c r="I585" t="s">
        <v>916</v>
      </c>
    </row>
    <row r="586" customHeight="1" spans="1:9">
      <c r="A586" t="s">
        <v>2265</v>
      </c>
      <c r="B586" t="s">
        <v>16</v>
      </c>
      <c r="C586" t="s">
        <v>2771</v>
      </c>
      <c r="D586" t="s">
        <v>2772</v>
      </c>
      <c r="E586" t="s">
        <v>2773</v>
      </c>
      <c r="F586" t="s">
        <v>2774</v>
      </c>
      <c r="G586" t="s">
        <v>28</v>
      </c>
      <c r="H586" t="s">
        <v>28</v>
      </c>
      <c r="I586" t="s">
        <v>916</v>
      </c>
    </row>
    <row r="587" customHeight="1" spans="1:9">
      <c r="A587" t="s">
        <v>2265</v>
      </c>
      <c r="B587" t="s">
        <v>16</v>
      </c>
      <c r="C587" t="s">
        <v>2778</v>
      </c>
      <c r="D587" t="s">
        <v>2779</v>
      </c>
      <c r="E587" t="s">
        <v>2780</v>
      </c>
      <c r="F587" t="s">
        <v>2351</v>
      </c>
      <c r="G587" t="s">
        <v>28</v>
      </c>
      <c r="H587" t="s">
        <v>28</v>
      </c>
      <c r="I587" t="s">
        <v>916</v>
      </c>
    </row>
    <row r="588" customHeight="1" spans="1:9">
      <c r="A588" t="s">
        <v>2265</v>
      </c>
      <c r="B588" t="s">
        <v>16</v>
      </c>
      <c r="C588" t="s">
        <v>3176</v>
      </c>
      <c r="D588" t="s">
        <v>3177</v>
      </c>
      <c r="E588" t="s">
        <v>3178</v>
      </c>
      <c r="F588" t="s">
        <v>53</v>
      </c>
      <c r="G588" t="s">
        <v>28</v>
      </c>
      <c r="H588" t="s">
        <v>28</v>
      </c>
      <c r="I588" t="s">
        <v>916</v>
      </c>
    </row>
    <row r="589" customHeight="1" spans="1:9">
      <c r="A589" t="s">
        <v>2265</v>
      </c>
      <c r="B589" t="s">
        <v>16</v>
      </c>
      <c r="C589" t="s">
        <v>3182</v>
      </c>
      <c r="D589" t="s">
        <v>3183</v>
      </c>
      <c r="E589" t="s">
        <v>3184</v>
      </c>
      <c r="F589" t="s">
        <v>2428</v>
      </c>
      <c r="G589" t="s">
        <v>28</v>
      </c>
      <c r="H589" t="s">
        <v>28</v>
      </c>
      <c r="I589" t="s">
        <v>916</v>
      </c>
    </row>
    <row r="590" customHeight="1" spans="1:9">
      <c r="A590" t="s">
        <v>2265</v>
      </c>
      <c r="B590" t="s">
        <v>16</v>
      </c>
      <c r="C590" t="s">
        <v>3188</v>
      </c>
      <c r="D590" t="s">
        <v>3189</v>
      </c>
      <c r="E590" t="s">
        <v>3190</v>
      </c>
      <c r="F590" t="s">
        <v>2689</v>
      </c>
      <c r="G590" t="s">
        <v>28</v>
      </c>
      <c r="H590" t="s">
        <v>28</v>
      </c>
      <c r="I590" t="s">
        <v>916</v>
      </c>
    </row>
    <row r="591" customHeight="1" spans="1:9">
      <c r="A591" t="s">
        <v>2265</v>
      </c>
      <c r="B591" t="s">
        <v>16</v>
      </c>
      <c r="C591" t="s">
        <v>3200</v>
      </c>
      <c r="D591" t="s">
        <v>3201</v>
      </c>
      <c r="E591" t="s">
        <v>3202</v>
      </c>
      <c r="F591" t="s">
        <v>2273</v>
      </c>
      <c r="G591" t="s">
        <v>28</v>
      </c>
      <c r="H591" t="s">
        <v>28</v>
      </c>
      <c r="I591" t="s">
        <v>916</v>
      </c>
    </row>
    <row r="592" customHeight="1" spans="1:9">
      <c r="A592" t="s">
        <v>2265</v>
      </c>
      <c r="B592" t="s">
        <v>16</v>
      </c>
      <c r="C592" t="s">
        <v>3209</v>
      </c>
      <c r="D592" t="s">
        <v>3210</v>
      </c>
      <c r="E592" t="s">
        <v>3211</v>
      </c>
      <c r="F592" t="s">
        <v>2321</v>
      </c>
      <c r="G592" t="s">
        <v>28</v>
      </c>
      <c r="H592" t="s">
        <v>28</v>
      </c>
      <c r="I592" t="s">
        <v>916</v>
      </c>
    </row>
    <row r="593" customHeight="1" spans="1:9">
      <c r="A593" t="s">
        <v>2265</v>
      </c>
      <c r="B593" t="s">
        <v>16</v>
      </c>
      <c r="C593" t="s">
        <v>3215</v>
      </c>
      <c r="D593" t="s">
        <v>3216</v>
      </c>
      <c r="E593" t="s">
        <v>3217</v>
      </c>
      <c r="F593" t="s">
        <v>2554</v>
      </c>
      <c r="G593" t="s">
        <v>28</v>
      </c>
      <c r="H593" t="s">
        <v>28</v>
      </c>
      <c r="I593" t="s">
        <v>916</v>
      </c>
    </row>
    <row r="594" customHeight="1" spans="1:9">
      <c r="A594" t="s">
        <v>2265</v>
      </c>
      <c r="B594" t="s">
        <v>16</v>
      </c>
      <c r="C594" t="s">
        <v>3221</v>
      </c>
      <c r="D594" t="s">
        <v>3222</v>
      </c>
      <c r="E594" t="s">
        <v>3223</v>
      </c>
      <c r="F594" t="s">
        <v>2546</v>
      </c>
      <c r="G594" t="s">
        <v>28</v>
      </c>
      <c r="H594" t="s">
        <v>28</v>
      </c>
      <c r="I594" t="s">
        <v>916</v>
      </c>
    </row>
    <row r="595" customHeight="1" spans="1:9">
      <c r="A595" t="s">
        <v>2265</v>
      </c>
      <c r="B595" t="s">
        <v>16</v>
      </c>
      <c r="C595" t="s">
        <v>3224</v>
      </c>
      <c r="D595" t="s">
        <v>3225</v>
      </c>
      <c r="E595" t="s">
        <v>3226</v>
      </c>
      <c r="F595" t="s">
        <v>2340</v>
      </c>
      <c r="G595" t="s">
        <v>28</v>
      </c>
      <c r="H595" t="s">
        <v>28</v>
      </c>
      <c r="I595" t="s">
        <v>916</v>
      </c>
    </row>
    <row r="596" customHeight="1" spans="1:9">
      <c r="A596" t="s">
        <v>2265</v>
      </c>
      <c r="B596" t="s">
        <v>16</v>
      </c>
      <c r="C596" t="s">
        <v>3231</v>
      </c>
      <c r="D596" t="s">
        <v>3232</v>
      </c>
      <c r="E596" t="s">
        <v>3233</v>
      </c>
      <c r="F596" t="s">
        <v>2662</v>
      </c>
      <c r="G596" t="s">
        <v>3234</v>
      </c>
      <c r="H596" t="s">
        <v>28</v>
      </c>
      <c r="I596" t="s">
        <v>916</v>
      </c>
    </row>
    <row r="597" customHeight="1" spans="1:9">
      <c r="A597" t="s">
        <v>2265</v>
      </c>
      <c r="B597" t="s">
        <v>16</v>
      </c>
      <c r="C597" t="s">
        <v>3238</v>
      </c>
      <c r="D597" t="s">
        <v>3239</v>
      </c>
      <c r="E597" t="s">
        <v>3240</v>
      </c>
      <c r="F597" t="s">
        <v>2613</v>
      </c>
      <c r="G597" t="s">
        <v>3241</v>
      </c>
      <c r="H597" t="s">
        <v>28</v>
      </c>
      <c r="I597" t="s">
        <v>916</v>
      </c>
    </row>
    <row r="598" customHeight="1" spans="1:9">
      <c r="A598" t="s">
        <v>2265</v>
      </c>
      <c r="B598" t="s">
        <v>16</v>
      </c>
      <c r="C598" t="s">
        <v>3242</v>
      </c>
      <c r="D598" t="s">
        <v>3243</v>
      </c>
      <c r="E598" t="s">
        <v>3244</v>
      </c>
      <c r="F598" t="s">
        <v>3245</v>
      </c>
      <c r="G598" t="s">
        <v>28</v>
      </c>
      <c r="H598" t="s">
        <v>28</v>
      </c>
      <c r="I598" t="s">
        <v>916</v>
      </c>
    </row>
    <row r="599" customHeight="1" spans="1:9">
      <c r="A599" t="s">
        <v>2265</v>
      </c>
      <c r="B599" t="s">
        <v>16</v>
      </c>
      <c r="C599" t="s">
        <v>2858</v>
      </c>
      <c r="D599" t="s">
        <v>2859</v>
      </c>
      <c r="E599" t="s">
        <v>2860</v>
      </c>
      <c r="F599" t="s">
        <v>2301</v>
      </c>
      <c r="G599" t="s">
        <v>28</v>
      </c>
      <c r="H599" t="s">
        <v>28</v>
      </c>
      <c r="I599" t="s">
        <v>916</v>
      </c>
    </row>
    <row r="600" customHeight="1" spans="1:9">
      <c r="A600" t="s">
        <v>2265</v>
      </c>
      <c r="B600" t="s">
        <v>16</v>
      </c>
      <c r="C600" t="s">
        <v>2861</v>
      </c>
      <c r="D600" t="s">
        <v>2862</v>
      </c>
      <c r="E600" t="s">
        <v>2863</v>
      </c>
      <c r="F600" t="s">
        <v>2269</v>
      </c>
      <c r="G600" t="s">
        <v>28</v>
      </c>
      <c r="H600" t="s">
        <v>28</v>
      </c>
      <c r="I600" t="s">
        <v>916</v>
      </c>
    </row>
    <row r="601" customHeight="1" spans="1:9">
      <c r="A601" t="s">
        <v>2265</v>
      </c>
      <c r="B601" t="s">
        <v>16</v>
      </c>
      <c r="C601" t="s">
        <v>3249</v>
      </c>
      <c r="D601" t="s">
        <v>3250</v>
      </c>
      <c r="E601" t="s">
        <v>3251</v>
      </c>
      <c r="F601" t="s">
        <v>2340</v>
      </c>
      <c r="G601" t="s">
        <v>28</v>
      </c>
      <c r="H601" t="s">
        <v>28</v>
      </c>
      <c r="I601" t="s">
        <v>916</v>
      </c>
    </row>
    <row r="602" customHeight="1" spans="1:9">
      <c r="A602" t="s">
        <v>2265</v>
      </c>
      <c r="B602" t="s">
        <v>16</v>
      </c>
      <c r="C602" t="s">
        <v>2867</v>
      </c>
      <c r="D602" t="s">
        <v>2868</v>
      </c>
      <c r="E602" t="s">
        <v>2869</v>
      </c>
      <c r="F602" t="s">
        <v>2340</v>
      </c>
      <c r="G602" t="s">
        <v>28</v>
      </c>
      <c r="H602" t="s">
        <v>28</v>
      </c>
      <c r="I602" t="s">
        <v>916</v>
      </c>
    </row>
    <row r="603" customHeight="1" spans="1:9">
      <c r="A603" t="s">
        <v>2265</v>
      </c>
      <c r="B603" t="s">
        <v>16</v>
      </c>
      <c r="C603" t="s">
        <v>2870</v>
      </c>
      <c r="D603" t="s">
        <v>2871</v>
      </c>
      <c r="E603" t="s">
        <v>2872</v>
      </c>
      <c r="F603" t="s">
        <v>2269</v>
      </c>
      <c r="G603" t="s">
        <v>28</v>
      </c>
      <c r="H603" t="s">
        <v>28</v>
      </c>
      <c r="I603" t="s">
        <v>916</v>
      </c>
    </row>
    <row r="604" customHeight="1" spans="1:9">
      <c r="A604" t="s">
        <v>2265</v>
      </c>
      <c r="B604" t="s">
        <v>16</v>
      </c>
      <c r="C604" t="s">
        <v>2879</v>
      </c>
      <c r="D604" t="s">
        <v>2880</v>
      </c>
      <c r="E604" t="s">
        <v>2881</v>
      </c>
      <c r="F604" t="s">
        <v>2376</v>
      </c>
      <c r="G604" t="s">
        <v>28</v>
      </c>
      <c r="H604" t="s">
        <v>28</v>
      </c>
      <c r="I604" t="s">
        <v>916</v>
      </c>
    </row>
    <row r="605" customHeight="1" spans="1:9">
      <c r="A605" t="s">
        <v>2265</v>
      </c>
      <c r="B605" t="s">
        <v>16</v>
      </c>
      <c r="C605" t="s">
        <v>2894</v>
      </c>
      <c r="D605" t="s">
        <v>2895</v>
      </c>
      <c r="E605" t="s">
        <v>2896</v>
      </c>
      <c r="F605" t="s">
        <v>2830</v>
      </c>
      <c r="G605" t="s">
        <v>28</v>
      </c>
      <c r="H605" t="s">
        <v>28</v>
      </c>
      <c r="I605" t="s">
        <v>916</v>
      </c>
    </row>
    <row r="606" customHeight="1" spans="1:9">
      <c r="A606" t="s">
        <v>2265</v>
      </c>
      <c r="B606" t="s">
        <v>16</v>
      </c>
      <c r="C606" t="s">
        <v>3258</v>
      </c>
      <c r="D606" t="s">
        <v>3259</v>
      </c>
      <c r="E606" t="s">
        <v>3260</v>
      </c>
      <c r="F606" t="s">
        <v>2532</v>
      </c>
      <c r="G606" t="s">
        <v>28</v>
      </c>
      <c r="H606" t="s">
        <v>28</v>
      </c>
      <c r="I606" t="s">
        <v>916</v>
      </c>
    </row>
    <row r="607" customHeight="1" spans="1:9">
      <c r="A607" t="s">
        <v>2265</v>
      </c>
      <c r="B607" t="s">
        <v>16</v>
      </c>
      <c r="C607" t="s">
        <v>2910</v>
      </c>
      <c r="D607" t="s">
        <v>2908</v>
      </c>
      <c r="E607" t="s">
        <v>2909</v>
      </c>
      <c r="F607" t="s">
        <v>2284</v>
      </c>
      <c r="G607" t="s">
        <v>28</v>
      </c>
      <c r="H607" t="s">
        <v>28</v>
      </c>
      <c r="I607" t="s">
        <v>916</v>
      </c>
    </row>
    <row r="608" customHeight="1" spans="1:9">
      <c r="A608" t="s">
        <v>2265</v>
      </c>
      <c r="B608" t="s">
        <v>16</v>
      </c>
      <c r="C608" t="s">
        <v>2911</v>
      </c>
      <c r="D608" t="s">
        <v>2912</v>
      </c>
      <c r="E608" t="s">
        <v>2913</v>
      </c>
      <c r="F608" t="s">
        <v>2284</v>
      </c>
      <c r="G608" t="s">
        <v>28</v>
      </c>
      <c r="H608" t="s">
        <v>28</v>
      </c>
      <c r="I608" t="s">
        <v>916</v>
      </c>
    </row>
    <row r="609" customHeight="1" spans="1:9">
      <c r="A609" t="s">
        <v>2265</v>
      </c>
      <c r="B609" t="s">
        <v>16</v>
      </c>
      <c r="C609" t="s">
        <v>3261</v>
      </c>
      <c r="D609" t="s">
        <v>3262</v>
      </c>
      <c r="E609" t="s">
        <v>3263</v>
      </c>
      <c r="F609" t="s">
        <v>3264</v>
      </c>
      <c r="G609" t="s">
        <v>28</v>
      </c>
      <c r="H609" t="s">
        <v>28</v>
      </c>
      <c r="I609" t="s">
        <v>916</v>
      </c>
    </row>
    <row r="610" customHeight="1" spans="1:9">
      <c r="A610" t="s">
        <v>2265</v>
      </c>
      <c r="B610" t="s">
        <v>16</v>
      </c>
      <c r="C610" t="s">
        <v>3265</v>
      </c>
      <c r="D610" t="s">
        <v>3266</v>
      </c>
      <c r="E610" t="s">
        <v>3267</v>
      </c>
      <c r="F610" t="s">
        <v>3268</v>
      </c>
      <c r="G610" t="s">
        <v>3269</v>
      </c>
      <c r="H610" t="s">
        <v>28</v>
      </c>
      <c r="I610" t="s">
        <v>916</v>
      </c>
    </row>
    <row r="611" customHeight="1" spans="1:9">
      <c r="A611" t="s">
        <v>2265</v>
      </c>
      <c r="B611" t="s">
        <v>16</v>
      </c>
      <c r="C611" t="s">
        <v>3273</v>
      </c>
      <c r="D611" t="s">
        <v>3274</v>
      </c>
      <c r="E611" t="s">
        <v>3275</v>
      </c>
      <c r="F611" t="s">
        <v>2689</v>
      </c>
      <c r="G611" t="s">
        <v>28</v>
      </c>
      <c r="H611" t="s">
        <v>28</v>
      </c>
      <c r="I611" t="s">
        <v>916</v>
      </c>
    </row>
    <row r="612" customHeight="1" spans="1:9">
      <c r="A612" t="s">
        <v>2265</v>
      </c>
      <c r="B612" t="s">
        <v>16</v>
      </c>
      <c r="C612" t="s">
        <v>3279</v>
      </c>
      <c r="D612" t="s">
        <v>3280</v>
      </c>
      <c r="E612" t="s">
        <v>3281</v>
      </c>
      <c r="F612" t="s">
        <v>2503</v>
      </c>
      <c r="G612" t="s">
        <v>28</v>
      </c>
      <c r="H612" t="s">
        <v>28</v>
      </c>
      <c r="I612" t="s">
        <v>916</v>
      </c>
    </row>
    <row r="613" customHeight="1" spans="1:9">
      <c r="A613" t="s">
        <v>2265</v>
      </c>
      <c r="B613" t="s">
        <v>16</v>
      </c>
      <c r="C613" t="s">
        <v>2920</v>
      </c>
      <c r="D613" t="s">
        <v>2921</v>
      </c>
      <c r="E613" t="s">
        <v>2922</v>
      </c>
      <c r="F613" t="s">
        <v>2923</v>
      </c>
      <c r="G613" t="s">
        <v>28</v>
      </c>
      <c r="H613" t="s">
        <v>28</v>
      </c>
      <c r="I613" t="s">
        <v>916</v>
      </c>
    </row>
    <row r="614" customHeight="1" spans="1:9">
      <c r="A614" t="s">
        <v>2265</v>
      </c>
      <c r="B614" t="s">
        <v>16</v>
      </c>
      <c r="C614" t="s">
        <v>2933</v>
      </c>
      <c r="D614" t="s">
        <v>2934</v>
      </c>
      <c r="E614" t="s">
        <v>2935</v>
      </c>
      <c r="F614" t="s">
        <v>2936</v>
      </c>
      <c r="G614" t="s">
        <v>28</v>
      </c>
      <c r="H614" t="s">
        <v>28</v>
      </c>
      <c r="I614" t="s">
        <v>916</v>
      </c>
    </row>
    <row r="615" customHeight="1" spans="1:9">
      <c r="A615" t="s">
        <v>2265</v>
      </c>
      <c r="B615" t="s">
        <v>16</v>
      </c>
      <c r="C615" t="s">
        <v>2940</v>
      </c>
      <c r="D615" t="s">
        <v>2941</v>
      </c>
      <c r="E615" t="s">
        <v>2942</v>
      </c>
      <c r="F615" t="s">
        <v>2332</v>
      </c>
      <c r="G615" t="s">
        <v>28</v>
      </c>
      <c r="H615" t="s">
        <v>28</v>
      </c>
      <c r="I615" t="s">
        <v>916</v>
      </c>
    </row>
    <row r="616" customHeight="1" spans="1:9">
      <c r="A616" t="s">
        <v>2265</v>
      </c>
      <c r="B616" t="s">
        <v>16</v>
      </c>
      <c r="C616" t="s">
        <v>3282</v>
      </c>
      <c r="D616" t="s">
        <v>3283</v>
      </c>
      <c r="E616" t="s">
        <v>3054</v>
      </c>
      <c r="F616" t="s">
        <v>3284</v>
      </c>
      <c r="G616" t="s">
        <v>28</v>
      </c>
      <c r="H616" t="s">
        <v>28</v>
      </c>
      <c r="I616" t="s">
        <v>916</v>
      </c>
    </row>
    <row r="617" customHeight="1" spans="1:9">
      <c r="A617" t="s">
        <v>2265</v>
      </c>
      <c r="B617" t="s">
        <v>16</v>
      </c>
      <c r="C617" t="s">
        <v>2955</v>
      </c>
      <c r="D617" t="s">
        <v>2956</v>
      </c>
      <c r="E617" t="s">
        <v>2935</v>
      </c>
      <c r="F617" t="s">
        <v>2957</v>
      </c>
      <c r="G617" t="s">
        <v>28</v>
      </c>
      <c r="H617" t="s">
        <v>28</v>
      </c>
      <c r="I617" t="s">
        <v>916</v>
      </c>
    </row>
    <row r="618" customHeight="1" spans="1:9">
      <c r="A618" t="s">
        <v>2265</v>
      </c>
      <c r="B618" t="s">
        <v>16</v>
      </c>
      <c r="C618" t="s">
        <v>2958</v>
      </c>
      <c r="D618" t="s">
        <v>2959</v>
      </c>
      <c r="E618" t="s">
        <v>2960</v>
      </c>
      <c r="F618" t="s">
        <v>2961</v>
      </c>
      <c r="G618" t="s">
        <v>28</v>
      </c>
      <c r="H618" t="s">
        <v>28</v>
      </c>
      <c r="I618" t="s">
        <v>916</v>
      </c>
    </row>
    <row r="619" customHeight="1" spans="1:9">
      <c r="A619" t="s">
        <v>2265</v>
      </c>
      <c r="B619" t="s">
        <v>16</v>
      </c>
      <c r="C619" t="s">
        <v>3316</v>
      </c>
      <c r="D619" t="s">
        <v>3317</v>
      </c>
      <c r="E619" t="s">
        <v>3318</v>
      </c>
      <c r="F619" t="s">
        <v>2340</v>
      </c>
      <c r="G619" t="s">
        <v>28</v>
      </c>
      <c r="H619" t="s">
        <v>28</v>
      </c>
      <c r="I619" t="s">
        <v>916</v>
      </c>
    </row>
    <row r="620" customHeight="1" spans="1:9">
      <c r="A620" t="s">
        <v>2265</v>
      </c>
      <c r="B620" t="s">
        <v>16</v>
      </c>
      <c r="C620" t="s">
        <v>3319</v>
      </c>
      <c r="D620" t="s">
        <v>3320</v>
      </c>
      <c r="E620" t="s">
        <v>3321</v>
      </c>
      <c r="F620" t="s">
        <v>2823</v>
      </c>
      <c r="G620" t="s">
        <v>28</v>
      </c>
      <c r="H620" t="s">
        <v>28</v>
      </c>
      <c r="I620" t="s">
        <v>1637</v>
      </c>
    </row>
    <row r="621" customHeight="1" spans="1:9">
      <c r="A621" t="s">
        <v>2265</v>
      </c>
      <c r="B621" t="s">
        <v>16</v>
      </c>
      <c r="C621" t="s">
        <v>2389</v>
      </c>
      <c r="D621" t="s">
        <v>2390</v>
      </c>
      <c r="E621" t="s">
        <v>2391</v>
      </c>
      <c r="F621" t="s">
        <v>2392</v>
      </c>
      <c r="G621" t="s">
        <v>28</v>
      </c>
      <c r="H621" t="s">
        <v>28</v>
      </c>
      <c r="I621" t="s">
        <v>1637</v>
      </c>
    </row>
    <row r="622" customHeight="1" spans="1:9">
      <c r="A622" t="s">
        <v>2265</v>
      </c>
      <c r="B622" t="s">
        <v>16</v>
      </c>
      <c r="C622" t="s">
        <v>2396</v>
      </c>
      <c r="D622" t="s">
        <v>2397</v>
      </c>
      <c r="E622" t="s">
        <v>2398</v>
      </c>
      <c r="F622" t="s">
        <v>2399</v>
      </c>
      <c r="G622" t="s">
        <v>28</v>
      </c>
      <c r="H622" t="s">
        <v>28</v>
      </c>
      <c r="I622" t="s">
        <v>1637</v>
      </c>
    </row>
    <row r="623" customHeight="1" spans="1:9">
      <c r="A623" t="s">
        <v>2265</v>
      </c>
      <c r="B623" t="s">
        <v>16</v>
      </c>
      <c r="C623" t="s">
        <v>2400</v>
      </c>
      <c r="D623" t="s">
        <v>2401</v>
      </c>
      <c r="E623" t="s">
        <v>2402</v>
      </c>
      <c r="F623" t="s">
        <v>2384</v>
      </c>
      <c r="G623" t="s">
        <v>28</v>
      </c>
      <c r="H623" t="s">
        <v>28</v>
      </c>
      <c r="I623" t="s">
        <v>1637</v>
      </c>
    </row>
    <row r="624" customHeight="1" spans="1:9">
      <c r="A624" t="s">
        <v>2265</v>
      </c>
      <c r="B624" t="s">
        <v>16</v>
      </c>
      <c r="C624" t="s">
        <v>2429</v>
      </c>
      <c r="D624" t="s">
        <v>2430</v>
      </c>
      <c r="E624" t="s">
        <v>2431</v>
      </c>
      <c r="F624" t="s">
        <v>2399</v>
      </c>
      <c r="G624" t="s">
        <v>28</v>
      </c>
      <c r="H624" t="s">
        <v>28</v>
      </c>
      <c r="I624" t="s">
        <v>1637</v>
      </c>
    </row>
    <row r="625" customHeight="1" spans="1:9">
      <c r="A625" t="s">
        <v>2265</v>
      </c>
      <c r="B625" t="s">
        <v>16</v>
      </c>
      <c r="C625" t="s">
        <v>3322</v>
      </c>
      <c r="D625" t="s">
        <v>3323</v>
      </c>
      <c r="E625" t="s">
        <v>3324</v>
      </c>
      <c r="F625" t="s">
        <v>2273</v>
      </c>
      <c r="G625" t="s">
        <v>28</v>
      </c>
      <c r="H625" t="s">
        <v>28</v>
      </c>
      <c r="I625" t="s">
        <v>1637</v>
      </c>
    </row>
    <row r="626" customHeight="1" spans="1:9">
      <c r="A626" t="s">
        <v>2265</v>
      </c>
      <c r="B626" t="s">
        <v>16</v>
      </c>
      <c r="C626" t="s">
        <v>28</v>
      </c>
      <c r="D626" t="s">
        <v>2452</v>
      </c>
      <c r="E626" t="s">
        <v>2453</v>
      </c>
      <c r="F626" t="s">
        <v>2269</v>
      </c>
      <c r="G626" t="s">
        <v>28</v>
      </c>
      <c r="H626" t="s">
        <v>28</v>
      </c>
      <c r="I626" t="s">
        <v>1637</v>
      </c>
    </row>
    <row r="627" customHeight="1" spans="1:9">
      <c r="A627" t="s">
        <v>2265</v>
      </c>
      <c r="B627" t="s">
        <v>16</v>
      </c>
      <c r="C627" t="s">
        <v>3325</v>
      </c>
      <c r="D627" t="s">
        <v>3326</v>
      </c>
      <c r="E627" t="s">
        <v>3327</v>
      </c>
      <c r="F627" t="s">
        <v>585</v>
      </c>
      <c r="G627" t="s">
        <v>28</v>
      </c>
      <c r="H627" t="s">
        <v>28</v>
      </c>
      <c r="I627" t="s">
        <v>1637</v>
      </c>
    </row>
    <row r="628" customHeight="1" spans="1:9">
      <c r="A628" t="s">
        <v>2265</v>
      </c>
      <c r="B628" t="s">
        <v>16</v>
      </c>
      <c r="C628" t="s">
        <v>3328</v>
      </c>
      <c r="D628" t="s">
        <v>3329</v>
      </c>
      <c r="E628" t="s">
        <v>3330</v>
      </c>
      <c r="F628" t="s">
        <v>585</v>
      </c>
      <c r="G628" t="s">
        <v>28</v>
      </c>
      <c r="H628" t="s">
        <v>28</v>
      </c>
      <c r="I628" t="s">
        <v>1637</v>
      </c>
    </row>
    <row r="629" customHeight="1" spans="1:9">
      <c r="A629" t="s">
        <v>2265</v>
      </c>
      <c r="B629" t="s">
        <v>16</v>
      </c>
      <c r="C629" t="s">
        <v>3331</v>
      </c>
      <c r="D629" t="s">
        <v>3332</v>
      </c>
      <c r="E629" t="s">
        <v>3333</v>
      </c>
      <c r="F629" t="s">
        <v>585</v>
      </c>
      <c r="G629" t="s">
        <v>28</v>
      </c>
      <c r="H629" t="s">
        <v>28</v>
      </c>
      <c r="I629" t="s">
        <v>1637</v>
      </c>
    </row>
    <row r="630" customHeight="1" spans="1:9">
      <c r="A630" t="s">
        <v>2265</v>
      </c>
      <c r="B630" t="s">
        <v>16</v>
      </c>
      <c r="C630" t="s">
        <v>3334</v>
      </c>
      <c r="D630" t="s">
        <v>3335</v>
      </c>
      <c r="E630" t="s">
        <v>3336</v>
      </c>
      <c r="F630" t="s">
        <v>2273</v>
      </c>
      <c r="G630" t="s">
        <v>28</v>
      </c>
      <c r="H630" t="s">
        <v>28</v>
      </c>
      <c r="I630" t="s">
        <v>1637</v>
      </c>
    </row>
    <row r="631" customHeight="1" spans="1:9">
      <c r="A631" t="s">
        <v>2265</v>
      </c>
      <c r="B631" t="s">
        <v>16</v>
      </c>
      <c r="C631" t="s">
        <v>2511</v>
      </c>
      <c r="D631" t="s">
        <v>2512</v>
      </c>
      <c r="E631" t="s">
        <v>2513</v>
      </c>
      <c r="F631" t="s">
        <v>2514</v>
      </c>
      <c r="G631" t="s">
        <v>28</v>
      </c>
      <c r="H631" t="s">
        <v>28</v>
      </c>
      <c r="I631" t="s">
        <v>1637</v>
      </c>
    </row>
    <row r="632" customHeight="1" spans="1:9">
      <c r="A632" t="s">
        <v>2265</v>
      </c>
      <c r="B632" t="s">
        <v>16</v>
      </c>
      <c r="C632" t="s">
        <v>3020</v>
      </c>
      <c r="D632" t="s">
        <v>3021</v>
      </c>
      <c r="E632" t="s">
        <v>3022</v>
      </c>
      <c r="F632" t="s">
        <v>2384</v>
      </c>
      <c r="G632" t="s">
        <v>28</v>
      </c>
      <c r="H632" t="s">
        <v>28</v>
      </c>
      <c r="I632" t="s">
        <v>1637</v>
      </c>
    </row>
    <row r="633" customHeight="1" spans="1:9">
      <c r="A633" t="s">
        <v>2265</v>
      </c>
      <c r="B633" t="s">
        <v>16</v>
      </c>
      <c r="C633" t="s">
        <v>3291</v>
      </c>
      <c r="D633" t="s">
        <v>3292</v>
      </c>
      <c r="E633" t="s">
        <v>3293</v>
      </c>
      <c r="F633" t="s">
        <v>2332</v>
      </c>
      <c r="G633" t="s">
        <v>3294</v>
      </c>
      <c r="H633" t="s">
        <v>28</v>
      </c>
      <c r="I633" t="s">
        <v>1637</v>
      </c>
    </row>
    <row r="634" customHeight="1" spans="1:9">
      <c r="A634" t="s">
        <v>2265</v>
      </c>
      <c r="B634" t="s">
        <v>16</v>
      </c>
      <c r="C634" t="s">
        <v>3027</v>
      </c>
      <c r="D634" t="s">
        <v>3028</v>
      </c>
      <c r="E634" t="s">
        <v>3029</v>
      </c>
      <c r="F634" t="s">
        <v>2273</v>
      </c>
      <c r="G634" t="s">
        <v>28</v>
      </c>
      <c r="H634" t="s">
        <v>28</v>
      </c>
      <c r="I634" t="s">
        <v>1637</v>
      </c>
    </row>
    <row r="635" customHeight="1" spans="1:9">
      <c r="A635" t="s">
        <v>2265</v>
      </c>
      <c r="B635" t="s">
        <v>16</v>
      </c>
      <c r="C635" t="s">
        <v>2522</v>
      </c>
      <c r="D635" t="s">
        <v>2523</v>
      </c>
      <c r="E635" t="s">
        <v>2524</v>
      </c>
      <c r="F635" t="s">
        <v>2525</v>
      </c>
      <c r="G635" t="s">
        <v>28</v>
      </c>
      <c r="H635" t="s">
        <v>28</v>
      </c>
      <c r="I635" t="s">
        <v>1637</v>
      </c>
    </row>
    <row r="636" customHeight="1" spans="1:9">
      <c r="A636" t="s">
        <v>2265</v>
      </c>
      <c r="B636" t="s">
        <v>16</v>
      </c>
      <c r="C636" t="s">
        <v>2547</v>
      </c>
      <c r="D636" t="s">
        <v>2548</v>
      </c>
      <c r="E636" t="s">
        <v>2549</v>
      </c>
      <c r="F636" t="s">
        <v>2550</v>
      </c>
      <c r="G636" t="s">
        <v>28</v>
      </c>
      <c r="H636" t="s">
        <v>28</v>
      </c>
      <c r="I636" t="s">
        <v>1637</v>
      </c>
    </row>
    <row r="637" customHeight="1" spans="1:9">
      <c r="A637" t="s">
        <v>2265</v>
      </c>
      <c r="B637" t="s">
        <v>16</v>
      </c>
      <c r="C637" t="s">
        <v>2551</v>
      </c>
      <c r="D637" t="s">
        <v>2552</v>
      </c>
      <c r="E637" t="s">
        <v>2553</v>
      </c>
      <c r="F637" t="s">
        <v>2554</v>
      </c>
      <c r="G637" t="s">
        <v>2555</v>
      </c>
      <c r="H637" t="s">
        <v>28</v>
      </c>
      <c r="I637" t="s">
        <v>1637</v>
      </c>
    </row>
    <row r="638" customHeight="1" spans="1:9">
      <c r="A638" t="s">
        <v>2265</v>
      </c>
      <c r="B638" t="s">
        <v>16</v>
      </c>
      <c r="C638" t="s">
        <v>3337</v>
      </c>
      <c r="D638" t="s">
        <v>3338</v>
      </c>
      <c r="E638" t="s">
        <v>3339</v>
      </c>
      <c r="F638" t="s">
        <v>2332</v>
      </c>
      <c r="G638" t="s">
        <v>28</v>
      </c>
      <c r="H638" t="s">
        <v>28</v>
      </c>
      <c r="I638" t="s">
        <v>1637</v>
      </c>
    </row>
    <row r="639" customHeight="1" spans="1:9">
      <c r="A639" t="s">
        <v>2265</v>
      </c>
      <c r="B639" t="s">
        <v>16</v>
      </c>
      <c r="C639" t="s">
        <v>3340</v>
      </c>
      <c r="D639" t="s">
        <v>3341</v>
      </c>
      <c r="E639" t="s">
        <v>3342</v>
      </c>
      <c r="F639" t="s">
        <v>2269</v>
      </c>
      <c r="G639" t="s">
        <v>28</v>
      </c>
      <c r="H639" t="s">
        <v>28</v>
      </c>
      <c r="I639" t="s">
        <v>1637</v>
      </c>
    </row>
    <row r="640" customHeight="1" spans="1:9">
      <c r="A640" t="s">
        <v>2265</v>
      </c>
      <c r="B640" t="s">
        <v>16</v>
      </c>
      <c r="C640" t="s">
        <v>3343</v>
      </c>
      <c r="D640" t="s">
        <v>3344</v>
      </c>
      <c r="E640" t="s">
        <v>3345</v>
      </c>
      <c r="F640" t="s">
        <v>2297</v>
      </c>
      <c r="G640" t="s">
        <v>28</v>
      </c>
      <c r="H640" t="s">
        <v>28</v>
      </c>
      <c r="I640" t="s">
        <v>1637</v>
      </c>
    </row>
    <row r="641" customHeight="1" spans="1:9">
      <c r="A641" t="s">
        <v>2265</v>
      </c>
      <c r="B641" t="s">
        <v>16</v>
      </c>
      <c r="C641" t="s">
        <v>2586</v>
      </c>
      <c r="D641" t="s">
        <v>2587</v>
      </c>
      <c r="E641" t="s">
        <v>2588</v>
      </c>
      <c r="F641" t="s">
        <v>2525</v>
      </c>
      <c r="G641" t="s">
        <v>28</v>
      </c>
      <c r="H641" t="s">
        <v>28</v>
      </c>
      <c r="I641" t="s">
        <v>1637</v>
      </c>
    </row>
    <row r="642" customHeight="1" spans="1:9">
      <c r="A642" t="s">
        <v>2265</v>
      </c>
      <c r="B642" t="s">
        <v>16</v>
      </c>
      <c r="C642" t="s">
        <v>3346</v>
      </c>
      <c r="D642" t="s">
        <v>3347</v>
      </c>
      <c r="E642" t="s">
        <v>3348</v>
      </c>
      <c r="F642" t="s">
        <v>3349</v>
      </c>
      <c r="G642" t="s">
        <v>28</v>
      </c>
      <c r="H642" t="s">
        <v>28</v>
      </c>
      <c r="I642" t="s">
        <v>1637</v>
      </c>
    </row>
    <row r="643" customHeight="1" spans="1:9">
      <c r="A643" t="s">
        <v>2265</v>
      </c>
      <c r="B643" t="s">
        <v>16</v>
      </c>
      <c r="C643" t="s">
        <v>3068</v>
      </c>
      <c r="D643" t="s">
        <v>3069</v>
      </c>
      <c r="E643" t="s">
        <v>3070</v>
      </c>
      <c r="F643" t="s">
        <v>3071</v>
      </c>
      <c r="G643" t="s">
        <v>3072</v>
      </c>
      <c r="H643" t="s">
        <v>28</v>
      </c>
      <c r="I643" t="s">
        <v>1637</v>
      </c>
    </row>
    <row r="644" customHeight="1" spans="1:9">
      <c r="A644" t="s">
        <v>2265</v>
      </c>
      <c r="B644" t="s">
        <v>16</v>
      </c>
      <c r="C644" t="s">
        <v>3350</v>
      </c>
      <c r="D644" t="s">
        <v>3351</v>
      </c>
      <c r="E644" t="s">
        <v>3352</v>
      </c>
      <c r="F644" t="s">
        <v>2499</v>
      </c>
      <c r="G644" t="s">
        <v>28</v>
      </c>
      <c r="H644" t="s">
        <v>28</v>
      </c>
      <c r="I644" t="s">
        <v>1637</v>
      </c>
    </row>
    <row r="645" customHeight="1" spans="1:9">
      <c r="A645" t="s">
        <v>2265</v>
      </c>
      <c r="B645" t="s">
        <v>16</v>
      </c>
      <c r="C645" t="s">
        <v>3353</v>
      </c>
      <c r="D645" t="s">
        <v>3354</v>
      </c>
      <c r="E645" t="s">
        <v>3355</v>
      </c>
      <c r="F645" t="s">
        <v>3356</v>
      </c>
      <c r="G645" t="s">
        <v>28</v>
      </c>
      <c r="H645" t="s">
        <v>28</v>
      </c>
      <c r="I645" t="s">
        <v>1637</v>
      </c>
    </row>
    <row r="646" customHeight="1" spans="1:9">
      <c r="A646" t="s">
        <v>2265</v>
      </c>
      <c r="B646" t="s">
        <v>16</v>
      </c>
      <c r="C646" t="s">
        <v>3357</v>
      </c>
      <c r="D646" t="s">
        <v>3354</v>
      </c>
      <c r="E646" t="s">
        <v>3358</v>
      </c>
      <c r="F646" t="s">
        <v>2288</v>
      </c>
      <c r="G646" t="s">
        <v>28</v>
      </c>
      <c r="H646" t="s">
        <v>28</v>
      </c>
      <c r="I646" t="s">
        <v>1637</v>
      </c>
    </row>
    <row r="647" customHeight="1" spans="1:9">
      <c r="A647" t="s">
        <v>2265</v>
      </c>
      <c r="B647" t="s">
        <v>16</v>
      </c>
      <c r="C647" t="s">
        <v>3359</v>
      </c>
      <c r="D647" t="s">
        <v>3354</v>
      </c>
      <c r="E647" t="s">
        <v>3360</v>
      </c>
      <c r="F647" t="s">
        <v>2823</v>
      </c>
      <c r="G647" t="s">
        <v>28</v>
      </c>
      <c r="H647" t="s">
        <v>28</v>
      </c>
      <c r="I647" t="s">
        <v>1637</v>
      </c>
    </row>
    <row r="648" customHeight="1" spans="1:9">
      <c r="A648" t="s">
        <v>2265</v>
      </c>
      <c r="B648" t="s">
        <v>16</v>
      </c>
      <c r="C648" t="s">
        <v>3361</v>
      </c>
      <c r="D648" t="s">
        <v>3354</v>
      </c>
      <c r="E648" t="s">
        <v>3362</v>
      </c>
      <c r="F648" t="s">
        <v>2470</v>
      </c>
      <c r="G648" t="s">
        <v>28</v>
      </c>
      <c r="H648" t="s">
        <v>28</v>
      </c>
      <c r="I648" t="s">
        <v>1637</v>
      </c>
    </row>
    <row r="649" customHeight="1" spans="1:9">
      <c r="A649" t="s">
        <v>2265</v>
      </c>
      <c r="B649" t="s">
        <v>16</v>
      </c>
      <c r="C649" t="s">
        <v>3363</v>
      </c>
      <c r="D649" t="s">
        <v>3364</v>
      </c>
      <c r="E649" t="s">
        <v>3365</v>
      </c>
      <c r="F649" t="s">
        <v>2532</v>
      </c>
      <c r="G649" t="s">
        <v>28</v>
      </c>
      <c r="H649" t="s">
        <v>28</v>
      </c>
      <c r="I649" t="s">
        <v>1637</v>
      </c>
    </row>
    <row r="650" customHeight="1" spans="1:9">
      <c r="A650" t="s">
        <v>2265</v>
      </c>
      <c r="B650" t="s">
        <v>16</v>
      </c>
      <c r="C650" t="s">
        <v>3366</v>
      </c>
      <c r="D650" t="s">
        <v>3367</v>
      </c>
      <c r="E650" t="s">
        <v>3368</v>
      </c>
      <c r="F650" t="s">
        <v>2340</v>
      </c>
      <c r="G650" t="s">
        <v>28</v>
      </c>
      <c r="H650" t="s">
        <v>28</v>
      </c>
      <c r="I650" t="s">
        <v>1637</v>
      </c>
    </row>
    <row r="651" customHeight="1" spans="1:9">
      <c r="A651" t="s">
        <v>2265</v>
      </c>
      <c r="B651" t="s">
        <v>16</v>
      </c>
      <c r="C651" t="s">
        <v>3369</v>
      </c>
      <c r="D651" t="s">
        <v>3370</v>
      </c>
      <c r="E651" t="s">
        <v>3371</v>
      </c>
      <c r="F651" t="s">
        <v>2662</v>
      </c>
      <c r="G651" t="s">
        <v>28</v>
      </c>
      <c r="H651" t="s">
        <v>28</v>
      </c>
      <c r="I651" t="s">
        <v>1637</v>
      </c>
    </row>
    <row r="652" customHeight="1" spans="1:9">
      <c r="A652" t="s">
        <v>2265</v>
      </c>
      <c r="B652" t="s">
        <v>16</v>
      </c>
      <c r="C652" t="s">
        <v>3372</v>
      </c>
      <c r="D652" t="s">
        <v>3373</v>
      </c>
      <c r="E652" t="s">
        <v>3374</v>
      </c>
      <c r="F652" t="s">
        <v>2269</v>
      </c>
      <c r="G652" t="s">
        <v>28</v>
      </c>
      <c r="H652" t="s">
        <v>28</v>
      </c>
      <c r="I652" t="s">
        <v>1637</v>
      </c>
    </row>
    <row r="653" customHeight="1" spans="1:9">
      <c r="A653" t="s">
        <v>2265</v>
      </c>
      <c r="B653" t="s">
        <v>16</v>
      </c>
      <c r="C653" t="s">
        <v>3375</v>
      </c>
      <c r="D653" t="s">
        <v>3376</v>
      </c>
      <c r="E653" t="s">
        <v>3377</v>
      </c>
      <c r="F653" t="s">
        <v>2595</v>
      </c>
      <c r="G653" t="s">
        <v>28</v>
      </c>
      <c r="H653" t="s">
        <v>28</v>
      </c>
      <c r="I653" t="s">
        <v>1637</v>
      </c>
    </row>
    <row r="654" customHeight="1" spans="1:9">
      <c r="A654" t="s">
        <v>2265</v>
      </c>
      <c r="B654" t="s">
        <v>16</v>
      </c>
      <c r="C654" t="s">
        <v>3378</v>
      </c>
      <c r="D654" t="s">
        <v>3379</v>
      </c>
      <c r="E654" t="s">
        <v>3380</v>
      </c>
      <c r="F654" t="s">
        <v>2613</v>
      </c>
      <c r="G654" t="s">
        <v>28</v>
      </c>
      <c r="H654" t="s">
        <v>28</v>
      </c>
      <c r="I654" t="s">
        <v>1637</v>
      </c>
    </row>
    <row r="655" customHeight="1" spans="1:9">
      <c r="A655" t="s">
        <v>2265</v>
      </c>
      <c r="B655" t="s">
        <v>16</v>
      </c>
      <c r="C655" t="s">
        <v>3381</v>
      </c>
      <c r="D655" t="s">
        <v>3382</v>
      </c>
      <c r="E655" t="s">
        <v>3383</v>
      </c>
      <c r="F655" t="s">
        <v>2662</v>
      </c>
      <c r="G655" t="s">
        <v>28</v>
      </c>
      <c r="H655" t="s">
        <v>28</v>
      </c>
      <c r="I655" t="s">
        <v>1637</v>
      </c>
    </row>
    <row r="656" customHeight="1" spans="1:9">
      <c r="A656" t="s">
        <v>2265</v>
      </c>
      <c r="B656" t="s">
        <v>16</v>
      </c>
      <c r="C656" t="s">
        <v>3384</v>
      </c>
      <c r="D656" t="s">
        <v>3385</v>
      </c>
      <c r="E656" t="s">
        <v>3386</v>
      </c>
      <c r="F656" t="s">
        <v>2662</v>
      </c>
      <c r="G656" t="s">
        <v>28</v>
      </c>
      <c r="H656" t="s">
        <v>28</v>
      </c>
      <c r="I656" t="s">
        <v>1637</v>
      </c>
    </row>
    <row r="657" customHeight="1" spans="1:9">
      <c r="A657" t="s">
        <v>2265</v>
      </c>
      <c r="B657" t="s">
        <v>16</v>
      </c>
      <c r="C657" t="s">
        <v>2702</v>
      </c>
      <c r="D657" t="s">
        <v>2703</v>
      </c>
      <c r="E657" t="s">
        <v>2704</v>
      </c>
      <c r="F657" t="s">
        <v>2705</v>
      </c>
      <c r="G657" t="s">
        <v>2706</v>
      </c>
      <c r="H657" t="s">
        <v>28</v>
      </c>
      <c r="I657" t="s">
        <v>1637</v>
      </c>
    </row>
    <row r="658" customHeight="1" spans="1:9">
      <c r="A658" t="s">
        <v>2265</v>
      </c>
      <c r="B658" t="s">
        <v>16</v>
      </c>
      <c r="C658" t="s">
        <v>3387</v>
      </c>
      <c r="D658" t="s">
        <v>3388</v>
      </c>
      <c r="E658" t="s">
        <v>3389</v>
      </c>
      <c r="F658" t="s">
        <v>3390</v>
      </c>
      <c r="G658" t="s">
        <v>28</v>
      </c>
      <c r="H658" t="s">
        <v>28</v>
      </c>
      <c r="I658" t="s">
        <v>1637</v>
      </c>
    </row>
    <row r="659" customHeight="1" spans="1:9">
      <c r="A659" t="s">
        <v>2265</v>
      </c>
      <c r="B659" t="s">
        <v>16</v>
      </c>
      <c r="C659" t="s">
        <v>3391</v>
      </c>
      <c r="D659" t="s">
        <v>3392</v>
      </c>
      <c r="E659" t="s">
        <v>3393</v>
      </c>
      <c r="F659" t="s">
        <v>53</v>
      </c>
      <c r="G659" t="s">
        <v>28</v>
      </c>
      <c r="H659" t="s">
        <v>28</v>
      </c>
      <c r="I659" t="s">
        <v>1637</v>
      </c>
    </row>
    <row r="660" customHeight="1" spans="1:9">
      <c r="A660" t="s">
        <v>2265</v>
      </c>
      <c r="B660" t="s">
        <v>16</v>
      </c>
      <c r="C660" t="s">
        <v>3394</v>
      </c>
      <c r="D660" t="s">
        <v>3395</v>
      </c>
      <c r="E660" t="s">
        <v>3396</v>
      </c>
      <c r="F660" t="s">
        <v>2662</v>
      </c>
      <c r="G660" t="s">
        <v>28</v>
      </c>
      <c r="H660" t="s">
        <v>28</v>
      </c>
      <c r="I660" t="s">
        <v>1637</v>
      </c>
    </row>
    <row r="661" customHeight="1" spans="1:9">
      <c r="A661" t="s">
        <v>2265</v>
      </c>
      <c r="B661" t="s">
        <v>16</v>
      </c>
      <c r="C661" t="s">
        <v>3397</v>
      </c>
      <c r="D661" t="s">
        <v>3398</v>
      </c>
      <c r="E661" t="s">
        <v>3399</v>
      </c>
      <c r="F661" t="s">
        <v>2662</v>
      </c>
      <c r="G661" t="s">
        <v>28</v>
      </c>
      <c r="H661" t="s">
        <v>28</v>
      </c>
      <c r="I661" t="s">
        <v>1637</v>
      </c>
    </row>
    <row r="662" customHeight="1" spans="1:9">
      <c r="A662" t="s">
        <v>2265</v>
      </c>
      <c r="B662" t="s">
        <v>16</v>
      </c>
      <c r="C662" t="s">
        <v>3400</v>
      </c>
      <c r="D662" t="s">
        <v>3401</v>
      </c>
      <c r="E662" t="s">
        <v>3402</v>
      </c>
      <c r="F662" t="s">
        <v>2833</v>
      </c>
      <c r="G662" t="s">
        <v>3403</v>
      </c>
      <c r="H662" t="s">
        <v>28</v>
      </c>
      <c r="I662" t="s">
        <v>1637</v>
      </c>
    </row>
    <row r="663" customHeight="1" spans="1:9">
      <c r="A663" t="s">
        <v>2265</v>
      </c>
      <c r="B663" t="s">
        <v>16</v>
      </c>
      <c r="C663" t="s">
        <v>3404</v>
      </c>
      <c r="D663" t="s">
        <v>3405</v>
      </c>
      <c r="E663" t="s">
        <v>3406</v>
      </c>
      <c r="F663" t="s">
        <v>2595</v>
      </c>
      <c r="G663" t="s">
        <v>28</v>
      </c>
      <c r="H663" t="s">
        <v>28</v>
      </c>
      <c r="I663" t="s">
        <v>1637</v>
      </c>
    </row>
    <row r="664" customHeight="1" spans="1:9">
      <c r="A664" t="s">
        <v>2265</v>
      </c>
      <c r="B664" t="s">
        <v>16</v>
      </c>
      <c r="C664" t="s">
        <v>2725</v>
      </c>
      <c r="D664" t="s">
        <v>2726</v>
      </c>
      <c r="E664" t="s">
        <v>2727</v>
      </c>
      <c r="F664" t="s">
        <v>2728</v>
      </c>
      <c r="G664" t="s">
        <v>28</v>
      </c>
      <c r="H664" t="s">
        <v>28</v>
      </c>
      <c r="I664" t="s">
        <v>1637</v>
      </c>
    </row>
    <row r="665" customHeight="1" spans="1:9">
      <c r="A665" t="s">
        <v>2265</v>
      </c>
      <c r="B665" t="s">
        <v>16</v>
      </c>
      <c r="C665" t="s">
        <v>3407</v>
      </c>
      <c r="D665" t="s">
        <v>3408</v>
      </c>
      <c r="E665" t="s">
        <v>3409</v>
      </c>
      <c r="F665" t="s">
        <v>2662</v>
      </c>
      <c r="G665" t="s">
        <v>3410</v>
      </c>
      <c r="H665" t="s">
        <v>28</v>
      </c>
      <c r="I665" t="s">
        <v>1637</v>
      </c>
    </row>
    <row r="666" customHeight="1" spans="1:9">
      <c r="A666" t="s">
        <v>2265</v>
      </c>
      <c r="B666" t="s">
        <v>16</v>
      </c>
      <c r="C666" t="s">
        <v>3411</v>
      </c>
      <c r="D666" t="s">
        <v>3412</v>
      </c>
      <c r="E666" t="s">
        <v>3413</v>
      </c>
      <c r="F666" t="s">
        <v>2344</v>
      </c>
      <c r="G666" t="s">
        <v>28</v>
      </c>
      <c r="H666" t="s">
        <v>28</v>
      </c>
      <c r="I666" t="s">
        <v>1637</v>
      </c>
    </row>
    <row r="667" customHeight="1" spans="1:9">
      <c r="A667" t="s">
        <v>2265</v>
      </c>
      <c r="B667" t="s">
        <v>16</v>
      </c>
      <c r="C667" t="s">
        <v>3414</v>
      </c>
      <c r="D667" t="s">
        <v>3415</v>
      </c>
      <c r="E667" t="s">
        <v>3416</v>
      </c>
      <c r="F667" t="s">
        <v>2301</v>
      </c>
      <c r="G667" t="s">
        <v>28</v>
      </c>
      <c r="H667" t="s">
        <v>28</v>
      </c>
      <c r="I667" t="s">
        <v>1637</v>
      </c>
    </row>
    <row r="668" customHeight="1" spans="1:9">
      <c r="A668" t="s">
        <v>2265</v>
      </c>
      <c r="B668" t="s">
        <v>16</v>
      </c>
      <c r="C668" t="s">
        <v>3417</v>
      </c>
      <c r="D668" t="s">
        <v>3418</v>
      </c>
      <c r="E668" t="s">
        <v>3419</v>
      </c>
      <c r="F668" t="s">
        <v>2277</v>
      </c>
      <c r="G668" t="s">
        <v>28</v>
      </c>
      <c r="H668" t="s">
        <v>28</v>
      </c>
      <c r="I668" t="s">
        <v>1637</v>
      </c>
    </row>
    <row r="669" customHeight="1" spans="1:9">
      <c r="A669" t="s">
        <v>2265</v>
      </c>
      <c r="B669" t="s">
        <v>16</v>
      </c>
      <c r="C669" t="s">
        <v>3420</v>
      </c>
      <c r="D669" t="s">
        <v>3418</v>
      </c>
      <c r="E669" t="s">
        <v>3421</v>
      </c>
      <c r="F669" t="s">
        <v>2292</v>
      </c>
      <c r="G669" t="s">
        <v>28</v>
      </c>
      <c r="H669" t="s">
        <v>28</v>
      </c>
      <c r="I669" t="s">
        <v>1637</v>
      </c>
    </row>
    <row r="670" customHeight="1" spans="1:9">
      <c r="A670" t="s">
        <v>2265</v>
      </c>
      <c r="B670" t="s">
        <v>16</v>
      </c>
      <c r="C670" t="s">
        <v>3422</v>
      </c>
      <c r="D670" t="s">
        <v>3423</v>
      </c>
      <c r="E670" t="s">
        <v>3424</v>
      </c>
      <c r="F670" t="s">
        <v>2653</v>
      </c>
      <c r="G670" t="s">
        <v>28</v>
      </c>
      <c r="H670" t="s">
        <v>28</v>
      </c>
      <c r="I670" t="s">
        <v>1637</v>
      </c>
    </row>
    <row r="671" customHeight="1" spans="1:9">
      <c r="A671" t="s">
        <v>2265</v>
      </c>
      <c r="B671" t="s">
        <v>16</v>
      </c>
      <c r="C671" t="s">
        <v>3425</v>
      </c>
      <c r="D671" t="s">
        <v>3423</v>
      </c>
      <c r="E671" t="s">
        <v>3426</v>
      </c>
      <c r="F671" t="s">
        <v>2305</v>
      </c>
      <c r="G671" t="s">
        <v>28</v>
      </c>
      <c r="H671" t="s">
        <v>28</v>
      </c>
      <c r="I671" t="s">
        <v>1637</v>
      </c>
    </row>
    <row r="672" customHeight="1" spans="1:9">
      <c r="A672" t="s">
        <v>2265</v>
      </c>
      <c r="B672" t="s">
        <v>16</v>
      </c>
      <c r="C672" t="s">
        <v>3427</v>
      </c>
      <c r="D672" t="s">
        <v>3428</v>
      </c>
      <c r="E672" t="s">
        <v>3429</v>
      </c>
      <c r="F672" t="s">
        <v>2292</v>
      </c>
      <c r="G672" t="s">
        <v>28</v>
      </c>
      <c r="H672" t="s">
        <v>28</v>
      </c>
      <c r="I672" t="s">
        <v>1637</v>
      </c>
    </row>
    <row r="673" customHeight="1" spans="1:9">
      <c r="A673" t="s">
        <v>2265</v>
      </c>
      <c r="B673" t="s">
        <v>16</v>
      </c>
      <c r="C673" t="s">
        <v>3430</v>
      </c>
      <c r="D673" t="s">
        <v>3431</v>
      </c>
      <c r="E673" t="s">
        <v>3432</v>
      </c>
      <c r="F673" t="s">
        <v>2340</v>
      </c>
      <c r="G673" t="s">
        <v>28</v>
      </c>
      <c r="H673" t="s">
        <v>28</v>
      </c>
      <c r="I673" t="s">
        <v>1637</v>
      </c>
    </row>
    <row r="674" customHeight="1" spans="1:9">
      <c r="A674" t="s">
        <v>2265</v>
      </c>
      <c r="B674" t="s">
        <v>16</v>
      </c>
      <c r="C674" t="s">
        <v>3433</v>
      </c>
      <c r="D674" t="s">
        <v>3434</v>
      </c>
      <c r="E674" t="s">
        <v>3435</v>
      </c>
      <c r="F674" t="s">
        <v>2273</v>
      </c>
      <c r="G674" t="s">
        <v>28</v>
      </c>
      <c r="H674" t="s">
        <v>28</v>
      </c>
      <c r="I674" t="s">
        <v>1637</v>
      </c>
    </row>
    <row r="675" customHeight="1" spans="1:9">
      <c r="A675" t="s">
        <v>2265</v>
      </c>
      <c r="B675" t="s">
        <v>16</v>
      </c>
      <c r="C675" t="s">
        <v>3436</v>
      </c>
      <c r="D675" t="s">
        <v>3437</v>
      </c>
      <c r="E675" t="s">
        <v>3438</v>
      </c>
      <c r="F675" t="s">
        <v>2301</v>
      </c>
      <c r="G675" t="s">
        <v>28</v>
      </c>
      <c r="H675" t="s">
        <v>28</v>
      </c>
      <c r="I675" t="s">
        <v>1637</v>
      </c>
    </row>
    <row r="676" customHeight="1" spans="1:9">
      <c r="A676" t="s">
        <v>2265</v>
      </c>
      <c r="B676" t="s">
        <v>16</v>
      </c>
      <c r="C676" t="s">
        <v>2771</v>
      </c>
      <c r="D676" t="s">
        <v>2772</v>
      </c>
      <c r="E676" t="s">
        <v>2773</v>
      </c>
      <c r="F676" t="s">
        <v>2774</v>
      </c>
      <c r="G676" t="s">
        <v>28</v>
      </c>
      <c r="H676" t="s">
        <v>28</v>
      </c>
      <c r="I676" t="s">
        <v>1637</v>
      </c>
    </row>
    <row r="677" customHeight="1" spans="1:9">
      <c r="A677" t="s">
        <v>2265</v>
      </c>
      <c r="B677" t="s">
        <v>16</v>
      </c>
      <c r="C677" t="s">
        <v>3439</v>
      </c>
      <c r="D677" t="s">
        <v>3440</v>
      </c>
      <c r="E677" t="s">
        <v>3441</v>
      </c>
      <c r="F677" t="s">
        <v>2325</v>
      </c>
      <c r="G677" t="s">
        <v>28</v>
      </c>
      <c r="H677" t="s">
        <v>28</v>
      </c>
      <c r="I677" t="s">
        <v>1637</v>
      </c>
    </row>
    <row r="678" customHeight="1" spans="1:9">
      <c r="A678" t="s">
        <v>2265</v>
      </c>
      <c r="B678" t="s">
        <v>16</v>
      </c>
      <c r="C678" t="s">
        <v>3442</v>
      </c>
      <c r="D678" t="s">
        <v>3443</v>
      </c>
      <c r="E678" t="s">
        <v>3444</v>
      </c>
      <c r="F678" t="s">
        <v>2421</v>
      </c>
      <c r="G678" t="s">
        <v>28</v>
      </c>
      <c r="H678" t="s">
        <v>28</v>
      </c>
      <c r="I678" t="s">
        <v>1637</v>
      </c>
    </row>
    <row r="679" customHeight="1" spans="1:9">
      <c r="A679" t="s">
        <v>2265</v>
      </c>
      <c r="B679" t="s">
        <v>16</v>
      </c>
      <c r="C679" t="s">
        <v>3445</v>
      </c>
      <c r="D679" t="s">
        <v>3446</v>
      </c>
      <c r="E679" t="s">
        <v>3447</v>
      </c>
      <c r="F679" t="s">
        <v>2340</v>
      </c>
      <c r="G679" t="s">
        <v>28</v>
      </c>
      <c r="H679" t="s">
        <v>28</v>
      </c>
      <c r="I679" t="s">
        <v>1637</v>
      </c>
    </row>
    <row r="680" customHeight="1" spans="1:9">
      <c r="A680" t="s">
        <v>2265</v>
      </c>
      <c r="B680" t="s">
        <v>16</v>
      </c>
      <c r="C680" t="s">
        <v>3448</v>
      </c>
      <c r="D680" t="s">
        <v>3449</v>
      </c>
      <c r="E680" t="s">
        <v>3450</v>
      </c>
      <c r="F680" t="s">
        <v>3451</v>
      </c>
      <c r="G680" t="s">
        <v>3452</v>
      </c>
      <c r="H680" t="s">
        <v>28</v>
      </c>
      <c r="I680" t="s">
        <v>1637</v>
      </c>
    </row>
    <row r="681" customHeight="1" spans="1:9">
      <c r="A681" t="s">
        <v>2265</v>
      </c>
      <c r="B681" t="s">
        <v>16</v>
      </c>
      <c r="C681" t="s">
        <v>3453</v>
      </c>
      <c r="D681" t="s">
        <v>3454</v>
      </c>
      <c r="E681" t="s">
        <v>3455</v>
      </c>
      <c r="F681" t="s">
        <v>2321</v>
      </c>
      <c r="G681" t="s">
        <v>28</v>
      </c>
      <c r="H681" t="s">
        <v>28</v>
      </c>
      <c r="I681" t="s">
        <v>1637</v>
      </c>
    </row>
    <row r="682" customHeight="1" spans="1:9">
      <c r="A682" t="s">
        <v>2265</v>
      </c>
      <c r="B682" t="s">
        <v>16</v>
      </c>
      <c r="C682" t="s">
        <v>3456</v>
      </c>
      <c r="D682" t="s">
        <v>3457</v>
      </c>
      <c r="E682" t="s">
        <v>3458</v>
      </c>
      <c r="F682" t="s">
        <v>2536</v>
      </c>
      <c r="G682" t="s">
        <v>28</v>
      </c>
      <c r="H682" t="s">
        <v>28</v>
      </c>
      <c r="I682" t="s">
        <v>1637</v>
      </c>
    </row>
    <row r="683" customHeight="1" spans="1:9">
      <c r="A683" t="s">
        <v>2265</v>
      </c>
      <c r="B683" t="s">
        <v>16</v>
      </c>
      <c r="C683" t="s">
        <v>3459</v>
      </c>
      <c r="D683" t="s">
        <v>3460</v>
      </c>
      <c r="E683" t="s">
        <v>3461</v>
      </c>
      <c r="F683" t="s">
        <v>2301</v>
      </c>
      <c r="G683" t="s">
        <v>28</v>
      </c>
      <c r="H683" t="s">
        <v>28</v>
      </c>
      <c r="I683" t="s">
        <v>1637</v>
      </c>
    </row>
    <row r="684" customHeight="1" spans="1:9">
      <c r="A684" t="s">
        <v>2265</v>
      </c>
      <c r="B684" t="s">
        <v>16</v>
      </c>
      <c r="C684" t="s">
        <v>3462</v>
      </c>
      <c r="D684" t="s">
        <v>3463</v>
      </c>
      <c r="E684" t="s">
        <v>3464</v>
      </c>
      <c r="F684" t="s">
        <v>3121</v>
      </c>
      <c r="G684" t="s">
        <v>28</v>
      </c>
      <c r="H684" t="s">
        <v>28</v>
      </c>
      <c r="I684" t="s">
        <v>1637</v>
      </c>
    </row>
    <row r="685" customHeight="1" spans="1:9">
      <c r="A685" t="s">
        <v>2265</v>
      </c>
      <c r="B685" t="s">
        <v>16</v>
      </c>
      <c r="C685" t="s">
        <v>3465</v>
      </c>
      <c r="D685" t="s">
        <v>3466</v>
      </c>
      <c r="E685" t="s">
        <v>3467</v>
      </c>
      <c r="F685" t="s">
        <v>2269</v>
      </c>
      <c r="G685" t="s">
        <v>28</v>
      </c>
      <c r="H685" t="s">
        <v>28</v>
      </c>
      <c r="I685" t="s">
        <v>1637</v>
      </c>
    </row>
    <row r="686" customHeight="1" spans="1:9">
      <c r="A686" t="s">
        <v>2265</v>
      </c>
      <c r="B686" t="s">
        <v>16</v>
      </c>
      <c r="C686" t="s">
        <v>3468</v>
      </c>
      <c r="D686" t="s">
        <v>3469</v>
      </c>
      <c r="E686" t="s">
        <v>3470</v>
      </c>
      <c r="F686" t="s">
        <v>2269</v>
      </c>
      <c r="G686" t="s">
        <v>28</v>
      </c>
      <c r="H686" t="s">
        <v>28</v>
      </c>
      <c r="I686" t="s">
        <v>1637</v>
      </c>
    </row>
    <row r="687" customHeight="1" spans="1:9">
      <c r="A687" t="s">
        <v>2265</v>
      </c>
      <c r="B687" t="s">
        <v>16</v>
      </c>
      <c r="C687" t="s">
        <v>3471</v>
      </c>
      <c r="D687" t="s">
        <v>3472</v>
      </c>
      <c r="E687" t="s">
        <v>3473</v>
      </c>
      <c r="F687" t="s">
        <v>2662</v>
      </c>
      <c r="G687" t="s">
        <v>28</v>
      </c>
      <c r="H687" t="s">
        <v>28</v>
      </c>
      <c r="I687" t="s">
        <v>1637</v>
      </c>
    </row>
    <row r="688" customHeight="1" spans="1:9">
      <c r="A688" t="s">
        <v>2265</v>
      </c>
      <c r="B688" t="s">
        <v>16</v>
      </c>
      <c r="C688" t="s">
        <v>3474</v>
      </c>
      <c r="D688" t="s">
        <v>3475</v>
      </c>
      <c r="E688" t="s">
        <v>3476</v>
      </c>
      <c r="F688" t="s">
        <v>2662</v>
      </c>
      <c r="G688" t="s">
        <v>28</v>
      </c>
      <c r="H688" t="s">
        <v>28</v>
      </c>
      <c r="I688" t="s">
        <v>1637</v>
      </c>
    </row>
    <row r="689" customHeight="1" spans="1:9">
      <c r="A689" t="s">
        <v>2265</v>
      </c>
      <c r="B689" t="s">
        <v>16</v>
      </c>
      <c r="C689" t="s">
        <v>3477</v>
      </c>
      <c r="D689" t="s">
        <v>3478</v>
      </c>
      <c r="E689" t="s">
        <v>3479</v>
      </c>
      <c r="F689" t="s">
        <v>2662</v>
      </c>
      <c r="G689" t="s">
        <v>28</v>
      </c>
      <c r="H689" t="s">
        <v>28</v>
      </c>
      <c r="I689" t="s">
        <v>1637</v>
      </c>
    </row>
    <row r="690" customHeight="1" spans="1:9">
      <c r="A690" t="s">
        <v>2265</v>
      </c>
      <c r="B690" t="s">
        <v>16</v>
      </c>
      <c r="C690" t="s">
        <v>3480</v>
      </c>
      <c r="D690" t="s">
        <v>3481</v>
      </c>
      <c r="E690" t="s">
        <v>3482</v>
      </c>
      <c r="F690" t="s">
        <v>2273</v>
      </c>
      <c r="G690" t="s">
        <v>28</v>
      </c>
      <c r="H690" t="s">
        <v>28</v>
      </c>
      <c r="I690" t="s">
        <v>1637</v>
      </c>
    </row>
    <row r="691" customHeight="1" spans="1:9">
      <c r="A691" t="s">
        <v>2265</v>
      </c>
      <c r="B691" t="s">
        <v>16</v>
      </c>
      <c r="C691" t="s">
        <v>3483</v>
      </c>
      <c r="D691" t="s">
        <v>3484</v>
      </c>
      <c r="E691" t="s">
        <v>3485</v>
      </c>
      <c r="F691" t="s">
        <v>2653</v>
      </c>
      <c r="G691" t="s">
        <v>28</v>
      </c>
      <c r="H691" t="s">
        <v>28</v>
      </c>
      <c r="I691" t="s">
        <v>1637</v>
      </c>
    </row>
    <row r="692" customHeight="1" spans="1:9">
      <c r="A692" t="s">
        <v>2265</v>
      </c>
      <c r="B692" t="s">
        <v>16</v>
      </c>
      <c r="C692" t="s">
        <v>3486</v>
      </c>
      <c r="D692" t="s">
        <v>3487</v>
      </c>
      <c r="E692" t="s">
        <v>3488</v>
      </c>
      <c r="F692" t="s">
        <v>2626</v>
      </c>
      <c r="G692" t="s">
        <v>28</v>
      </c>
      <c r="H692" t="s">
        <v>28</v>
      </c>
      <c r="I692" t="s">
        <v>1637</v>
      </c>
    </row>
    <row r="693" customHeight="1" spans="1:9">
      <c r="A693" t="s">
        <v>2265</v>
      </c>
      <c r="B693" t="s">
        <v>16</v>
      </c>
      <c r="C693" t="s">
        <v>3489</v>
      </c>
      <c r="D693" t="s">
        <v>3490</v>
      </c>
      <c r="E693" t="s">
        <v>3491</v>
      </c>
      <c r="F693" t="s">
        <v>3492</v>
      </c>
      <c r="G693" t="s">
        <v>28</v>
      </c>
      <c r="H693" t="s">
        <v>28</v>
      </c>
      <c r="I693" t="s">
        <v>1637</v>
      </c>
    </row>
    <row r="694" customHeight="1" spans="1:9">
      <c r="A694" t="s">
        <v>2265</v>
      </c>
      <c r="B694" t="s">
        <v>16</v>
      </c>
      <c r="C694" t="s">
        <v>3493</v>
      </c>
      <c r="D694" t="s">
        <v>3494</v>
      </c>
      <c r="E694" t="s">
        <v>3495</v>
      </c>
      <c r="F694" t="s">
        <v>2662</v>
      </c>
      <c r="G694" t="s">
        <v>28</v>
      </c>
      <c r="H694" t="s">
        <v>28</v>
      </c>
      <c r="I694" t="s">
        <v>1637</v>
      </c>
    </row>
    <row r="695" customHeight="1" spans="1:9">
      <c r="A695" t="s">
        <v>2265</v>
      </c>
      <c r="B695" t="s">
        <v>16</v>
      </c>
      <c r="C695" t="s">
        <v>3496</v>
      </c>
      <c r="D695" t="s">
        <v>3497</v>
      </c>
      <c r="E695" t="s">
        <v>3498</v>
      </c>
      <c r="F695" t="s">
        <v>2503</v>
      </c>
      <c r="G695" t="s">
        <v>28</v>
      </c>
      <c r="H695" t="s">
        <v>28</v>
      </c>
      <c r="I695" t="s">
        <v>1637</v>
      </c>
    </row>
    <row r="696" customHeight="1" spans="1:9">
      <c r="A696" t="s">
        <v>2265</v>
      </c>
      <c r="B696" t="s">
        <v>16</v>
      </c>
      <c r="C696" t="s">
        <v>3499</v>
      </c>
      <c r="D696" t="s">
        <v>3500</v>
      </c>
      <c r="E696" t="s">
        <v>3501</v>
      </c>
      <c r="F696" t="s">
        <v>2325</v>
      </c>
      <c r="G696" t="s">
        <v>28</v>
      </c>
      <c r="H696" t="s">
        <v>28</v>
      </c>
      <c r="I696" t="s">
        <v>1637</v>
      </c>
    </row>
    <row r="697" customHeight="1" spans="1:9">
      <c r="A697" t="s">
        <v>2265</v>
      </c>
      <c r="B697" t="s">
        <v>16</v>
      </c>
      <c r="C697" t="s">
        <v>3502</v>
      </c>
      <c r="D697" t="s">
        <v>3503</v>
      </c>
      <c r="E697" t="s">
        <v>3504</v>
      </c>
      <c r="F697" t="s">
        <v>2613</v>
      </c>
      <c r="G697" t="s">
        <v>28</v>
      </c>
      <c r="H697" t="s">
        <v>28</v>
      </c>
      <c r="I697" t="s">
        <v>1637</v>
      </c>
    </row>
    <row r="698" customHeight="1" spans="1:9">
      <c r="A698" t="s">
        <v>2265</v>
      </c>
      <c r="B698" t="s">
        <v>16</v>
      </c>
      <c r="C698" t="s">
        <v>3505</v>
      </c>
      <c r="D698" t="s">
        <v>3506</v>
      </c>
      <c r="E698" t="s">
        <v>3507</v>
      </c>
      <c r="F698" t="s">
        <v>2269</v>
      </c>
      <c r="G698" t="s">
        <v>28</v>
      </c>
      <c r="H698" t="s">
        <v>28</v>
      </c>
      <c r="I698" t="s">
        <v>1637</v>
      </c>
    </row>
    <row r="699" customHeight="1" spans="1:9">
      <c r="A699" t="s">
        <v>2265</v>
      </c>
      <c r="B699" t="s">
        <v>16</v>
      </c>
      <c r="C699" t="s">
        <v>3508</v>
      </c>
      <c r="D699" t="s">
        <v>3509</v>
      </c>
      <c r="E699" t="s">
        <v>3510</v>
      </c>
      <c r="F699" t="s">
        <v>2344</v>
      </c>
      <c r="G699" t="s">
        <v>28</v>
      </c>
      <c r="H699" t="s">
        <v>28</v>
      </c>
      <c r="I699" t="s">
        <v>1637</v>
      </c>
    </row>
    <row r="700" customHeight="1" spans="1:9">
      <c r="A700" t="s">
        <v>2265</v>
      </c>
      <c r="B700" t="s">
        <v>16</v>
      </c>
      <c r="C700" t="s">
        <v>3511</v>
      </c>
      <c r="D700" t="s">
        <v>3512</v>
      </c>
      <c r="E700" t="s">
        <v>3513</v>
      </c>
      <c r="F700" t="s">
        <v>2336</v>
      </c>
      <c r="G700" t="s">
        <v>28</v>
      </c>
      <c r="H700" t="s">
        <v>28</v>
      </c>
      <c r="I700" t="s">
        <v>1637</v>
      </c>
    </row>
    <row r="701" customHeight="1" spans="1:9">
      <c r="A701" t="s">
        <v>2265</v>
      </c>
      <c r="B701" t="s">
        <v>16</v>
      </c>
      <c r="C701" t="s">
        <v>3514</v>
      </c>
      <c r="D701" t="s">
        <v>3515</v>
      </c>
      <c r="E701" t="s">
        <v>3516</v>
      </c>
      <c r="F701" t="s">
        <v>2325</v>
      </c>
      <c r="G701" t="s">
        <v>28</v>
      </c>
      <c r="H701" t="s">
        <v>28</v>
      </c>
      <c r="I701" t="s">
        <v>1637</v>
      </c>
    </row>
    <row r="702" customHeight="1" spans="1:9">
      <c r="A702" t="s">
        <v>2265</v>
      </c>
      <c r="B702" t="s">
        <v>16</v>
      </c>
      <c r="C702" t="s">
        <v>3517</v>
      </c>
      <c r="D702" t="s">
        <v>3518</v>
      </c>
      <c r="E702" t="s">
        <v>3519</v>
      </c>
      <c r="F702" t="s">
        <v>2321</v>
      </c>
      <c r="G702" t="s">
        <v>28</v>
      </c>
      <c r="H702" t="s">
        <v>28</v>
      </c>
      <c r="I702" t="s">
        <v>1637</v>
      </c>
    </row>
    <row r="703" customHeight="1" spans="1:9">
      <c r="A703" t="s">
        <v>2265</v>
      </c>
      <c r="B703" t="s">
        <v>16</v>
      </c>
      <c r="C703" t="s">
        <v>3520</v>
      </c>
      <c r="D703" t="s">
        <v>3521</v>
      </c>
      <c r="E703" t="s">
        <v>3522</v>
      </c>
      <c r="F703" t="s">
        <v>2321</v>
      </c>
      <c r="G703" t="s">
        <v>28</v>
      </c>
      <c r="H703" t="s">
        <v>28</v>
      </c>
      <c r="I703" t="s">
        <v>1637</v>
      </c>
    </row>
    <row r="704" customHeight="1" spans="1:9">
      <c r="A704" t="s">
        <v>2265</v>
      </c>
      <c r="B704" t="s">
        <v>16</v>
      </c>
      <c r="C704" t="s">
        <v>3523</v>
      </c>
      <c r="D704" t="s">
        <v>3524</v>
      </c>
      <c r="E704" t="s">
        <v>3525</v>
      </c>
      <c r="F704" t="s">
        <v>2340</v>
      </c>
      <c r="G704" t="s">
        <v>28</v>
      </c>
      <c r="H704" t="s">
        <v>28</v>
      </c>
      <c r="I704" t="s">
        <v>1637</v>
      </c>
    </row>
    <row r="705" customHeight="1" spans="1:9">
      <c r="A705" t="s">
        <v>2265</v>
      </c>
      <c r="B705" t="s">
        <v>16</v>
      </c>
      <c r="C705" t="s">
        <v>3526</v>
      </c>
      <c r="D705" t="s">
        <v>3527</v>
      </c>
      <c r="E705" t="s">
        <v>3528</v>
      </c>
      <c r="F705" t="s">
        <v>2532</v>
      </c>
      <c r="G705" t="s">
        <v>28</v>
      </c>
      <c r="H705" t="s">
        <v>28</v>
      </c>
      <c r="I705" t="s">
        <v>1637</v>
      </c>
    </row>
    <row r="706" customHeight="1" spans="1:9">
      <c r="A706" t="s">
        <v>2265</v>
      </c>
      <c r="B706" t="s">
        <v>16</v>
      </c>
      <c r="C706" t="s">
        <v>3529</v>
      </c>
      <c r="D706" t="s">
        <v>3530</v>
      </c>
      <c r="E706" t="s">
        <v>3531</v>
      </c>
      <c r="F706" t="s">
        <v>2340</v>
      </c>
      <c r="G706" t="s">
        <v>28</v>
      </c>
      <c r="H706" t="s">
        <v>28</v>
      </c>
      <c r="I706" t="s">
        <v>1637</v>
      </c>
    </row>
    <row r="707" customHeight="1" spans="1:9">
      <c r="A707" t="s">
        <v>2265</v>
      </c>
      <c r="B707" t="s">
        <v>16</v>
      </c>
      <c r="C707" t="s">
        <v>3532</v>
      </c>
      <c r="D707" t="s">
        <v>3533</v>
      </c>
      <c r="E707" t="s">
        <v>3534</v>
      </c>
      <c r="F707" t="s">
        <v>2288</v>
      </c>
      <c r="G707" t="s">
        <v>28</v>
      </c>
      <c r="H707" t="s">
        <v>28</v>
      </c>
      <c r="I707" t="s">
        <v>1637</v>
      </c>
    </row>
    <row r="708" customHeight="1" spans="1:9">
      <c r="A708" t="s">
        <v>2265</v>
      </c>
      <c r="B708" t="s">
        <v>16</v>
      </c>
      <c r="C708" t="s">
        <v>3535</v>
      </c>
      <c r="D708" t="s">
        <v>3536</v>
      </c>
      <c r="E708" t="s">
        <v>3537</v>
      </c>
      <c r="F708" t="s">
        <v>2384</v>
      </c>
      <c r="G708" t="s">
        <v>28</v>
      </c>
      <c r="H708" t="s">
        <v>28</v>
      </c>
      <c r="I708" t="s">
        <v>1637</v>
      </c>
    </row>
    <row r="709" customHeight="1" spans="1:9">
      <c r="A709" t="s">
        <v>2265</v>
      </c>
      <c r="B709" t="s">
        <v>16</v>
      </c>
      <c r="C709" t="s">
        <v>3538</v>
      </c>
      <c r="D709" t="s">
        <v>3539</v>
      </c>
      <c r="E709" t="s">
        <v>3540</v>
      </c>
      <c r="F709" t="s">
        <v>2340</v>
      </c>
      <c r="G709" t="s">
        <v>28</v>
      </c>
      <c r="H709" t="s">
        <v>28</v>
      </c>
      <c r="I709" t="s">
        <v>1637</v>
      </c>
    </row>
    <row r="710" customHeight="1" spans="1:9">
      <c r="A710" t="s">
        <v>2265</v>
      </c>
      <c r="B710" t="s">
        <v>16</v>
      </c>
      <c r="C710" t="s">
        <v>3541</v>
      </c>
      <c r="D710" t="s">
        <v>3542</v>
      </c>
      <c r="E710" t="s">
        <v>3543</v>
      </c>
      <c r="F710" t="s">
        <v>2332</v>
      </c>
      <c r="G710" t="s">
        <v>28</v>
      </c>
      <c r="H710" t="s">
        <v>28</v>
      </c>
      <c r="I710" t="s">
        <v>1637</v>
      </c>
    </row>
    <row r="711" customHeight="1" spans="1:9">
      <c r="A711" t="s">
        <v>2265</v>
      </c>
      <c r="B711" t="s">
        <v>16</v>
      </c>
      <c r="C711" t="s">
        <v>3544</v>
      </c>
      <c r="D711" t="s">
        <v>3545</v>
      </c>
      <c r="E711" t="s">
        <v>3546</v>
      </c>
      <c r="F711" t="s">
        <v>2428</v>
      </c>
      <c r="G711" t="s">
        <v>28</v>
      </c>
      <c r="H711" t="s">
        <v>28</v>
      </c>
      <c r="I711" t="s">
        <v>1637</v>
      </c>
    </row>
    <row r="712" customHeight="1" spans="1:9">
      <c r="A712" t="s">
        <v>2265</v>
      </c>
      <c r="B712" t="s">
        <v>16</v>
      </c>
      <c r="C712" t="s">
        <v>3547</v>
      </c>
      <c r="D712" t="s">
        <v>3548</v>
      </c>
      <c r="E712" t="s">
        <v>3549</v>
      </c>
      <c r="F712" t="s">
        <v>2269</v>
      </c>
      <c r="G712" t="s">
        <v>28</v>
      </c>
      <c r="H712" t="s">
        <v>28</v>
      </c>
      <c r="I712" t="s">
        <v>1637</v>
      </c>
    </row>
  </sheetData>
  <sheetProtection formatColumns="0" formatRows="0" insertRows="0" deleteColumns="0" deleteRows="0" sort="0" autoFilter="0"/>
  <pageMargins left="0.75" right="0.75" top="1" bottom="1" header="0.5" footer="0.5"/>
  <pageSetup paperSize="1" orientation="portrait"/>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G957"/>
  <sheetViews>
    <sheetView showGridLines="0" workbookViewId="0">
      <selection activeCell="A1" sqref="A1"/>
    </sheetView>
  </sheetViews>
  <sheetFormatPr defaultColWidth="9" defaultRowHeight="11.25" customHeight="1" outlineLevelCol="6"/>
  <cols>
    <col min="1" max="1" width="9.14285714285714"/>
  </cols>
  <sheetData>
    <row r="1" customHeight="1" spans="1:7">
      <c r="A1" t="s">
        <v>3550</v>
      </c>
      <c r="B1" s="12" t="s">
        <v>3551</v>
      </c>
      <c r="C1" s="12" t="s">
        <v>3552</v>
      </c>
      <c r="D1" s="12" t="s">
        <v>3553</v>
      </c>
      <c r="E1" s="12" t="s">
        <v>3554</v>
      </c>
      <c r="F1" s="12" t="s">
        <v>3555</v>
      </c>
      <c r="G1" s="12" t="s">
        <v>3556</v>
      </c>
    </row>
    <row r="2" customHeight="1" spans="1:7">
      <c r="A2" t="s">
        <v>16</v>
      </c>
      <c r="B2" t="s">
        <v>3557</v>
      </c>
      <c r="C2" t="s">
        <v>3558</v>
      </c>
      <c r="D2" t="s">
        <v>3557</v>
      </c>
      <c r="E2" t="s">
        <v>3558</v>
      </c>
      <c r="F2" t="s">
        <v>3559</v>
      </c>
      <c r="G2" t="s">
        <v>111</v>
      </c>
    </row>
    <row r="3" customHeight="1" spans="1:7">
      <c r="A3" t="s">
        <v>16</v>
      </c>
      <c r="B3" t="s">
        <v>3557</v>
      </c>
      <c r="C3" t="s">
        <v>3558</v>
      </c>
      <c r="D3" t="s">
        <v>3560</v>
      </c>
      <c r="E3" t="s">
        <v>3561</v>
      </c>
      <c r="F3" t="s">
        <v>3562</v>
      </c>
      <c r="G3" t="s">
        <v>112</v>
      </c>
    </row>
    <row r="4" customHeight="1" spans="1:7">
      <c r="A4" t="s">
        <v>16</v>
      </c>
      <c r="B4" t="s">
        <v>3557</v>
      </c>
      <c r="C4" t="s">
        <v>3558</v>
      </c>
      <c r="D4" t="s">
        <v>3563</v>
      </c>
      <c r="E4" t="s">
        <v>3564</v>
      </c>
      <c r="F4" t="s">
        <v>3562</v>
      </c>
      <c r="G4" t="s">
        <v>91</v>
      </c>
    </row>
    <row r="5" customHeight="1" spans="1:7">
      <c r="A5" t="s">
        <v>16</v>
      </c>
      <c r="B5" t="s">
        <v>3557</v>
      </c>
      <c r="C5" t="s">
        <v>3558</v>
      </c>
      <c r="D5" t="s">
        <v>3565</v>
      </c>
      <c r="E5" t="s">
        <v>3566</v>
      </c>
      <c r="F5" t="s">
        <v>3567</v>
      </c>
      <c r="G5" t="s">
        <v>92</v>
      </c>
    </row>
    <row r="6" customHeight="1" spans="1:7">
      <c r="A6" t="s">
        <v>16</v>
      </c>
      <c r="B6" t="s">
        <v>3557</v>
      </c>
      <c r="C6" t="s">
        <v>3558</v>
      </c>
      <c r="D6" t="s">
        <v>3568</v>
      </c>
      <c r="E6" t="s">
        <v>3569</v>
      </c>
      <c r="F6" t="s">
        <v>3562</v>
      </c>
      <c r="G6" t="s">
        <v>113</v>
      </c>
    </row>
    <row r="7" customHeight="1" spans="1:7">
      <c r="A7" t="s">
        <v>16</v>
      </c>
      <c r="B7" t="s">
        <v>3557</v>
      </c>
      <c r="C7" t="s">
        <v>3558</v>
      </c>
      <c r="D7" t="s">
        <v>3570</v>
      </c>
      <c r="E7" t="s">
        <v>3571</v>
      </c>
      <c r="F7" t="s">
        <v>3562</v>
      </c>
      <c r="G7" t="s">
        <v>93</v>
      </c>
    </row>
    <row r="8" customHeight="1" spans="1:7">
      <c r="A8" t="s">
        <v>16</v>
      </c>
      <c r="B8" t="s">
        <v>3557</v>
      </c>
      <c r="C8" t="s">
        <v>3558</v>
      </c>
      <c r="D8" t="s">
        <v>3572</v>
      </c>
      <c r="E8" t="s">
        <v>3573</v>
      </c>
      <c r="F8" t="s">
        <v>3562</v>
      </c>
      <c r="G8" t="s">
        <v>94</v>
      </c>
    </row>
    <row r="9" customHeight="1" spans="1:7">
      <c r="A9" t="s">
        <v>16</v>
      </c>
      <c r="B9" t="s">
        <v>3557</v>
      </c>
      <c r="C9" t="s">
        <v>3558</v>
      </c>
      <c r="D9" t="s">
        <v>3574</v>
      </c>
      <c r="E9" t="s">
        <v>3575</v>
      </c>
      <c r="F9" t="s">
        <v>3562</v>
      </c>
      <c r="G9" t="s">
        <v>114</v>
      </c>
    </row>
    <row r="10" customHeight="1" spans="1:7">
      <c r="A10" t="s">
        <v>16</v>
      </c>
      <c r="B10" t="s">
        <v>3557</v>
      </c>
      <c r="C10" t="s">
        <v>3558</v>
      </c>
      <c r="D10" t="s">
        <v>3576</v>
      </c>
      <c r="E10" t="s">
        <v>3577</v>
      </c>
      <c r="F10" t="s">
        <v>3562</v>
      </c>
      <c r="G10" t="s">
        <v>150</v>
      </c>
    </row>
    <row r="11" customHeight="1" spans="1:7">
      <c r="A11" t="s">
        <v>16</v>
      </c>
      <c r="B11" t="s">
        <v>3557</v>
      </c>
      <c r="C11" t="s">
        <v>3558</v>
      </c>
      <c r="D11" t="s">
        <v>3578</v>
      </c>
      <c r="E11" t="s">
        <v>3579</v>
      </c>
      <c r="F11" t="s">
        <v>3562</v>
      </c>
      <c r="G11" t="s">
        <v>151</v>
      </c>
    </row>
    <row r="12" customHeight="1" spans="1:7">
      <c r="A12" t="s">
        <v>16</v>
      </c>
      <c r="B12" t="s">
        <v>3557</v>
      </c>
      <c r="C12" t="s">
        <v>3558</v>
      </c>
      <c r="D12" t="s">
        <v>3580</v>
      </c>
      <c r="E12" t="s">
        <v>3581</v>
      </c>
      <c r="F12" t="s">
        <v>3562</v>
      </c>
      <c r="G12" t="s">
        <v>152</v>
      </c>
    </row>
    <row r="13" customHeight="1" spans="1:7">
      <c r="A13" t="s">
        <v>16</v>
      </c>
      <c r="B13" t="s">
        <v>3557</v>
      </c>
      <c r="C13" t="s">
        <v>3558</v>
      </c>
      <c r="D13" t="s">
        <v>3582</v>
      </c>
      <c r="E13" t="s">
        <v>3583</v>
      </c>
      <c r="F13" t="s">
        <v>3562</v>
      </c>
      <c r="G13" t="s">
        <v>153</v>
      </c>
    </row>
    <row r="14" customHeight="1" spans="1:7">
      <c r="A14" t="s">
        <v>16</v>
      </c>
      <c r="B14" t="s">
        <v>3557</v>
      </c>
      <c r="C14" t="s">
        <v>3558</v>
      </c>
      <c r="D14" t="s">
        <v>3584</v>
      </c>
      <c r="E14" t="s">
        <v>3585</v>
      </c>
      <c r="F14" t="s">
        <v>3562</v>
      </c>
      <c r="G14" t="s">
        <v>154</v>
      </c>
    </row>
    <row r="15" customHeight="1" spans="1:7">
      <c r="A15" t="s">
        <v>16</v>
      </c>
      <c r="B15" t="s">
        <v>3557</v>
      </c>
      <c r="C15" t="s">
        <v>3558</v>
      </c>
      <c r="D15" t="s">
        <v>3586</v>
      </c>
      <c r="E15" t="s">
        <v>3587</v>
      </c>
      <c r="F15" t="s">
        <v>3562</v>
      </c>
      <c r="G15" t="s">
        <v>155</v>
      </c>
    </row>
    <row r="16" customHeight="1" spans="1:7">
      <c r="A16" t="s">
        <v>16</v>
      </c>
      <c r="B16" t="s">
        <v>3557</v>
      </c>
      <c r="C16" t="s">
        <v>3558</v>
      </c>
      <c r="D16" t="s">
        <v>3588</v>
      </c>
      <c r="E16" t="s">
        <v>3589</v>
      </c>
      <c r="F16" t="s">
        <v>3562</v>
      </c>
      <c r="G16" t="s">
        <v>1480</v>
      </c>
    </row>
    <row r="17" customHeight="1" spans="1:7">
      <c r="A17" t="s">
        <v>16</v>
      </c>
      <c r="B17" t="s">
        <v>3557</v>
      </c>
      <c r="C17" t="s">
        <v>3558</v>
      </c>
      <c r="D17" t="s">
        <v>3590</v>
      </c>
      <c r="E17" t="s">
        <v>3591</v>
      </c>
      <c r="F17" t="s">
        <v>3562</v>
      </c>
      <c r="G17" t="s">
        <v>1486</v>
      </c>
    </row>
    <row r="18" customHeight="1" spans="1:7">
      <c r="A18" t="s">
        <v>16</v>
      </c>
      <c r="B18" t="s">
        <v>3557</v>
      </c>
      <c r="C18" t="s">
        <v>3558</v>
      </c>
      <c r="D18" t="s">
        <v>3592</v>
      </c>
      <c r="E18" t="s">
        <v>3593</v>
      </c>
      <c r="F18" t="s">
        <v>3562</v>
      </c>
      <c r="G18" t="s">
        <v>1498</v>
      </c>
    </row>
    <row r="19" customHeight="1" spans="1:7">
      <c r="A19" t="s">
        <v>16</v>
      </c>
      <c r="B19" t="s">
        <v>3557</v>
      </c>
      <c r="C19" t="s">
        <v>3558</v>
      </c>
      <c r="D19" t="s">
        <v>3594</v>
      </c>
      <c r="E19" t="s">
        <v>3595</v>
      </c>
      <c r="F19" t="s">
        <v>3562</v>
      </c>
      <c r="G19" t="s">
        <v>1512</v>
      </c>
    </row>
    <row r="20" customHeight="1" spans="1:7">
      <c r="A20" t="s">
        <v>16</v>
      </c>
      <c r="B20" t="s">
        <v>3557</v>
      </c>
      <c r="C20" t="s">
        <v>3558</v>
      </c>
      <c r="D20" t="s">
        <v>3596</v>
      </c>
      <c r="E20" t="s">
        <v>3597</v>
      </c>
      <c r="F20" t="s">
        <v>3562</v>
      </c>
      <c r="G20" t="s">
        <v>1524</v>
      </c>
    </row>
    <row r="21" customHeight="1" spans="1:7">
      <c r="A21" t="s">
        <v>16</v>
      </c>
      <c r="B21" t="s">
        <v>3557</v>
      </c>
      <c r="C21" t="s">
        <v>3558</v>
      </c>
      <c r="D21" t="s">
        <v>3598</v>
      </c>
      <c r="E21" t="s">
        <v>3599</v>
      </c>
      <c r="F21" t="s">
        <v>3562</v>
      </c>
      <c r="G21" t="s">
        <v>1533</v>
      </c>
    </row>
    <row r="22" customHeight="1" spans="1:7">
      <c r="A22" t="s">
        <v>16</v>
      </c>
      <c r="B22" t="s">
        <v>3557</v>
      </c>
      <c r="C22" t="s">
        <v>3558</v>
      </c>
      <c r="D22" t="s">
        <v>3600</v>
      </c>
      <c r="E22" t="s">
        <v>3601</v>
      </c>
      <c r="F22" t="s">
        <v>3562</v>
      </c>
      <c r="G22" t="s">
        <v>1549</v>
      </c>
    </row>
    <row r="23" customHeight="1" spans="1:7">
      <c r="A23" t="s">
        <v>16</v>
      </c>
      <c r="B23" t="s">
        <v>3557</v>
      </c>
      <c r="C23" t="s">
        <v>3558</v>
      </c>
      <c r="D23" t="s">
        <v>3602</v>
      </c>
      <c r="E23" t="s">
        <v>3603</v>
      </c>
      <c r="F23" t="s">
        <v>3562</v>
      </c>
      <c r="G23" t="s">
        <v>1556</v>
      </c>
    </row>
    <row r="24" customHeight="1" spans="1:7">
      <c r="A24" t="s">
        <v>16</v>
      </c>
      <c r="B24" t="s">
        <v>3557</v>
      </c>
      <c r="C24" t="s">
        <v>3558</v>
      </c>
      <c r="D24" t="s">
        <v>3604</v>
      </c>
      <c r="E24" t="s">
        <v>3605</v>
      </c>
      <c r="F24" t="s">
        <v>3562</v>
      </c>
      <c r="G24" t="s">
        <v>1564</v>
      </c>
    </row>
    <row r="25" customHeight="1" spans="1:7">
      <c r="A25" t="s">
        <v>16</v>
      </c>
      <c r="B25" t="s">
        <v>3606</v>
      </c>
      <c r="C25" t="s">
        <v>3607</v>
      </c>
      <c r="D25" t="s">
        <v>3608</v>
      </c>
      <c r="E25" t="s">
        <v>3609</v>
      </c>
      <c r="F25" t="s">
        <v>3562</v>
      </c>
      <c r="G25" t="s">
        <v>1571</v>
      </c>
    </row>
    <row r="26" customHeight="1" spans="1:7">
      <c r="A26" t="s">
        <v>16</v>
      </c>
      <c r="B26" t="s">
        <v>3606</v>
      </c>
      <c r="C26" t="s">
        <v>3607</v>
      </c>
      <c r="D26" t="s">
        <v>3606</v>
      </c>
      <c r="E26" t="s">
        <v>3607</v>
      </c>
      <c r="F26" t="s">
        <v>3559</v>
      </c>
      <c r="G26" t="s">
        <v>1575</v>
      </c>
    </row>
    <row r="27" customHeight="1" spans="1:7">
      <c r="A27" t="s">
        <v>16</v>
      </c>
      <c r="B27" t="s">
        <v>3606</v>
      </c>
      <c r="C27" t="s">
        <v>3607</v>
      </c>
      <c r="D27" t="s">
        <v>3610</v>
      </c>
      <c r="E27" t="s">
        <v>3611</v>
      </c>
      <c r="F27" t="s">
        <v>3562</v>
      </c>
      <c r="G27" t="s">
        <v>1580</v>
      </c>
    </row>
    <row r="28" customHeight="1" spans="1:7">
      <c r="A28" t="s">
        <v>16</v>
      </c>
      <c r="B28" t="s">
        <v>3606</v>
      </c>
      <c r="C28" t="s">
        <v>3607</v>
      </c>
      <c r="D28" t="s">
        <v>3612</v>
      </c>
      <c r="E28" t="s">
        <v>3613</v>
      </c>
      <c r="F28" t="s">
        <v>3562</v>
      </c>
      <c r="G28" t="s">
        <v>1588</v>
      </c>
    </row>
    <row r="29" customHeight="1" spans="1:7">
      <c r="A29" t="s">
        <v>16</v>
      </c>
      <c r="B29" t="s">
        <v>3606</v>
      </c>
      <c r="C29" t="s">
        <v>3607</v>
      </c>
      <c r="D29" t="s">
        <v>3614</v>
      </c>
      <c r="E29" t="s">
        <v>3615</v>
      </c>
      <c r="F29" t="s">
        <v>3562</v>
      </c>
      <c r="G29" t="s">
        <v>1590</v>
      </c>
    </row>
    <row r="30" customHeight="1" spans="1:7">
      <c r="A30" t="s">
        <v>16</v>
      </c>
      <c r="B30" t="s">
        <v>3606</v>
      </c>
      <c r="C30" t="s">
        <v>3607</v>
      </c>
      <c r="D30" t="s">
        <v>3616</v>
      </c>
      <c r="E30" t="s">
        <v>3617</v>
      </c>
      <c r="F30" t="s">
        <v>3562</v>
      </c>
      <c r="G30" t="s">
        <v>1593</v>
      </c>
    </row>
    <row r="31" customHeight="1" spans="1:7">
      <c r="A31" t="s">
        <v>16</v>
      </c>
      <c r="B31" t="s">
        <v>3606</v>
      </c>
      <c r="C31" t="s">
        <v>3607</v>
      </c>
      <c r="D31" t="s">
        <v>3618</v>
      </c>
      <c r="E31" t="s">
        <v>3619</v>
      </c>
      <c r="F31" t="s">
        <v>3562</v>
      </c>
      <c r="G31" t="s">
        <v>1599</v>
      </c>
    </row>
    <row r="32" customHeight="1" spans="1:7">
      <c r="A32" t="s">
        <v>16</v>
      </c>
      <c r="B32" t="s">
        <v>3606</v>
      </c>
      <c r="C32" t="s">
        <v>3607</v>
      </c>
      <c r="D32" t="s">
        <v>3620</v>
      </c>
      <c r="E32" t="s">
        <v>3621</v>
      </c>
      <c r="F32" t="s">
        <v>3562</v>
      </c>
      <c r="G32" t="s">
        <v>1601</v>
      </c>
    </row>
    <row r="33" customHeight="1" spans="1:7">
      <c r="A33" t="s">
        <v>16</v>
      </c>
      <c r="B33" t="s">
        <v>3606</v>
      </c>
      <c r="C33" t="s">
        <v>3607</v>
      </c>
      <c r="D33" t="s">
        <v>3622</v>
      </c>
      <c r="E33" t="s">
        <v>3623</v>
      </c>
      <c r="F33" t="s">
        <v>3567</v>
      </c>
      <c r="G33" t="s">
        <v>1603</v>
      </c>
    </row>
    <row r="34" customHeight="1" spans="1:7">
      <c r="A34" t="s">
        <v>16</v>
      </c>
      <c r="B34" t="s">
        <v>3606</v>
      </c>
      <c r="C34" t="s">
        <v>3607</v>
      </c>
      <c r="D34" t="s">
        <v>3624</v>
      </c>
      <c r="E34" t="s">
        <v>3625</v>
      </c>
      <c r="F34" t="s">
        <v>3562</v>
      </c>
      <c r="G34" t="s">
        <v>1605</v>
      </c>
    </row>
    <row r="35" customHeight="1" spans="1:7">
      <c r="A35" t="s">
        <v>16</v>
      </c>
      <c r="B35" t="s">
        <v>3606</v>
      </c>
      <c r="C35" t="s">
        <v>3607</v>
      </c>
      <c r="D35" t="s">
        <v>3626</v>
      </c>
      <c r="E35" t="s">
        <v>3627</v>
      </c>
      <c r="F35" t="s">
        <v>3562</v>
      </c>
      <c r="G35" t="s">
        <v>1610</v>
      </c>
    </row>
    <row r="36" customHeight="1" spans="1:7">
      <c r="A36" t="s">
        <v>16</v>
      </c>
      <c r="B36" t="s">
        <v>3606</v>
      </c>
      <c r="C36" t="s">
        <v>3607</v>
      </c>
      <c r="D36" t="s">
        <v>3628</v>
      </c>
      <c r="E36" t="s">
        <v>3629</v>
      </c>
      <c r="F36" t="s">
        <v>3562</v>
      </c>
      <c r="G36" t="s">
        <v>1615</v>
      </c>
    </row>
    <row r="37" customHeight="1" spans="1:7">
      <c r="A37" t="s">
        <v>16</v>
      </c>
      <c r="B37" t="s">
        <v>3606</v>
      </c>
      <c r="C37" t="s">
        <v>3607</v>
      </c>
      <c r="D37" t="s">
        <v>3630</v>
      </c>
      <c r="E37" t="s">
        <v>3631</v>
      </c>
      <c r="F37" t="s">
        <v>3562</v>
      </c>
      <c r="G37" t="s">
        <v>1619</v>
      </c>
    </row>
    <row r="38" customHeight="1" spans="1:7">
      <c r="A38" t="s">
        <v>16</v>
      </c>
      <c r="B38" t="s">
        <v>3606</v>
      </c>
      <c r="C38" t="s">
        <v>3607</v>
      </c>
      <c r="D38" t="s">
        <v>3632</v>
      </c>
      <c r="E38" t="s">
        <v>3633</v>
      </c>
      <c r="F38" t="s">
        <v>3562</v>
      </c>
      <c r="G38" t="s">
        <v>1627</v>
      </c>
    </row>
    <row r="39" customHeight="1" spans="1:7">
      <c r="A39" t="s">
        <v>16</v>
      </c>
      <c r="B39" t="s">
        <v>3606</v>
      </c>
      <c r="C39" t="s">
        <v>3607</v>
      </c>
      <c r="D39" t="s">
        <v>3634</v>
      </c>
      <c r="E39" t="s">
        <v>3635</v>
      </c>
      <c r="F39" t="s">
        <v>3562</v>
      </c>
      <c r="G39" t="s">
        <v>1633</v>
      </c>
    </row>
    <row r="40" customHeight="1" spans="1:7">
      <c r="A40" t="s">
        <v>16</v>
      </c>
      <c r="B40" t="s">
        <v>3606</v>
      </c>
      <c r="C40" t="s">
        <v>3607</v>
      </c>
      <c r="D40" t="s">
        <v>3636</v>
      </c>
      <c r="E40" t="s">
        <v>3637</v>
      </c>
      <c r="F40" t="s">
        <v>3562</v>
      </c>
      <c r="G40" t="s">
        <v>1638</v>
      </c>
    </row>
    <row r="41" customHeight="1" spans="1:7">
      <c r="A41" t="s">
        <v>16</v>
      </c>
      <c r="B41" t="s">
        <v>3606</v>
      </c>
      <c r="C41" t="s">
        <v>3607</v>
      </c>
      <c r="D41" t="s">
        <v>3638</v>
      </c>
      <c r="E41" t="s">
        <v>3639</v>
      </c>
      <c r="F41" t="s">
        <v>3562</v>
      </c>
      <c r="G41" t="s">
        <v>1642</v>
      </c>
    </row>
    <row r="42" customHeight="1" spans="1:7">
      <c r="A42" t="s">
        <v>16</v>
      </c>
      <c r="B42" t="s">
        <v>3606</v>
      </c>
      <c r="C42" t="s">
        <v>3607</v>
      </c>
      <c r="D42" t="s">
        <v>3640</v>
      </c>
      <c r="E42" t="s">
        <v>3641</v>
      </c>
      <c r="F42" t="s">
        <v>3562</v>
      </c>
      <c r="G42" t="s">
        <v>1645</v>
      </c>
    </row>
    <row r="43" customHeight="1" spans="1:7">
      <c r="A43" t="s">
        <v>16</v>
      </c>
      <c r="B43" t="s">
        <v>3606</v>
      </c>
      <c r="C43" t="s">
        <v>3607</v>
      </c>
      <c r="D43" t="s">
        <v>3642</v>
      </c>
      <c r="E43" t="s">
        <v>3643</v>
      </c>
      <c r="F43" t="s">
        <v>3562</v>
      </c>
      <c r="G43" t="s">
        <v>1652</v>
      </c>
    </row>
    <row r="44" customHeight="1" spans="1:7">
      <c r="A44" t="s">
        <v>16</v>
      </c>
      <c r="B44" t="s">
        <v>3606</v>
      </c>
      <c r="C44" t="s">
        <v>3607</v>
      </c>
      <c r="D44" t="s">
        <v>3644</v>
      </c>
      <c r="E44" t="s">
        <v>3645</v>
      </c>
      <c r="F44" t="s">
        <v>3562</v>
      </c>
      <c r="G44" t="s">
        <v>1661</v>
      </c>
    </row>
    <row r="45" customHeight="1" spans="1:7">
      <c r="A45" t="s">
        <v>16</v>
      </c>
      <c r="B45" t="s">
        <v>3606</v>
      </c>
      <c r="C45" t="s">
        <v>3607</v>
      </c>
      <c r="D45" t="s">
        <v>3646</v>
      </c>
      <c r="E45" t="s">
        <v>3647</v>
      </c>
      <c r="F45" t="s">
        <v>3562</v>
      </c>
      <c r="G45" t="s">
        <v>1666</v>
      </c>
    </row>
    <row r="46" customHeight="1" spans="1:7">
      <c r="A46" t="s">
        <v>16</v>
      </c>
      <c r="B46" t="s">
        <v>3606</v>
      </c>
      <c r="C46" t="s">
        <v>3607</v>
      </c>
      <c r="D46" t="s">
        <v>3648</v>
      </c>
      <c r="E46" t="s">
        <v>3649</v>
      </c>
      <c r="F46" t="s">
        <v>3562</v>
      </c>
      <c r="G46" t="s">
        <v>1670</v>
      </c>
    </row>
    <row r="47" customHeight="1" spans="1:7">
      <c r="A47" t="s">
        <v>16</v>
      </c>
      <c r="B47" t="s">
        <v>3606</v>
      </c>
      <c r="C47" t="s">
        <v>3607</v>
      </c>
      <c r="D47" t="s">
        <v>3650</v>
      </c>
      <c r="E47" t="s">
        <v>3651</v>
      </c>
      <c r="F47" t="s">
        <v>3562</v>
      </c>
      <c r="G47" t="s">
        <v>1676</v>
      </c>
    </row>
    <row r="48" customHeight="1" spans="1:7">
      <c r="A48" t="s">
        <v>16</v>
      </c>
      <c r="B48" t="s">
        <v>3606</v>
      </c>
      <c r="C48" t="s">
        <v>3607</v>
      </c>
      <c r="D48" t="s">
        <v>3652</v>
      </c>
      <c r="E48" t="s">
        <v>3653</v>
      </c>
      <c r="F48" t="s">
        <v>3562</v>
      </c>
      <c r="G48" t="s">
        <v>1681</v>
      </c>
    </row>
    <row r="49" customHeight="1" spans="1:7">
      <c r="A49" t="s">
        <v>16</v>
      </c>
      <c r="B49" t="s">
        <v>3606</v>
      </c>
      <c r="C49" t="s">
        <v>3607</v>
      </c>
      <c r="D49" t="s">
        <v>3654</v>
      </c>
      <c r="E49" t="s">
        <v>3655</v>
      </c>
      <c r="F49" t="s">
        <v>3562</v>
      </c>
      <c r="G49" t="s">
        <v>1684</v>
      </c>
    </row>
    <row r="50" customHeight="1" spans="1:7">
      <c r="A50" t="s">
        <v>16</v>
      </c>
      <c r="B50" t="s">
        <v>3606</v>
      </c>
      <c r="C50" t="s">
        <v>3607</v>
      </c>
      <c r="D50" t="s">
        <v>3656</v>
      </c>
      <c r="E50" t="s">
        <v>3657</v>
      </c>
      <c r="F50" t="s">
        <v>3562</v>
      </c>
      <c r="G50" t="s">
        <v>1688</v>
      </c>
    </row>
    <row r="51" customHeight="1" spans="1:7">
      <c r="A51" t="s">
        <v>16</v>
      </c>
      <c r="B51" t="s">
        <v>3606</v>
      </c>
      <c r="C51" t="s">
        <v>3607</v>
      </c>
      <c r="D51" t="s">
        <v>3658</v>
      </c>
      <c r="E51" t="s">
        <v>3659</v>
      </c>
      <c r="F51" t="s">
        <v>3562</v>
      </c>
      <c r="G51" t="s">
        <v>1692</v>
      </c>
    </row>
    <row r="52" customHeight="1" spans="1:7">
      <c r="A52" t="s">
        <v>16</v>
      </c>
      <c r="B52" t="s">
        <v>3606</v>
      </c>
      <c r="C52" t="s">
        <v>3607</v>
      </c>
      <c r="D52" t="s">
        <v>3660</v>
      </c>
      <c r="E52" t="s">
        <v>3661</v>
      </c>
      <c r="F52" t="s">
        <v>3562</v>
      </c>
      <c r="G52" t="s">
        <v>1696</v>
      </c>
    </row>
    <row r="53" customHeight="1" spans="1:7">
      <c r="A53" t="s">
        <v>16</v>
      </c>
      <c r="B53" t="s">
        <v>3606</v>
      </c>
      <c r="C53" t="s">
        <v>3607</v>
      </c>
      <c r="D53" t="s">
        <v>3662</v>
      </c>
      <c r="E53" t="s">
        <v>3663</v>
      </c>
      <c r="F53" t="s">
        <v>3664</v>
      </c>
      <c r="G53" t="s">
        <v>1698</v>
      </c>
    </row>
    <row r="54" customHeight="1" spans="1:7">
      <c r="A54" t="s">
        <v>16</v>
      </c>
      <c r="B54" t="s">
        <v>3665</v>
      </c>
      <c r="C54" t="s">
        <v>3666</v>
      </c>
      <c r="D54" t="s">
        <v>3665</v>
      </c>
      <c r="E54" t="s">
        <v>3666</v>
      </c>
      <c r="F54" t="s">
        <v>3559</v>
      </c>
      <c r="G54" t="s">
        <v>1701</v>
      </c>
    </row>
    <row r="55" customHeight="1" spans="1:7">
      <c r="A55" t="s">
        <v>16</v>
      </c>
      <c r="B55" t="s">
        <v>3665</v>
      </c>
      <c r="C55" t="s">
        <v>3666</v>
      </c>
      <c r="D55" t="s">
        <v>3667</v>
      </c>
      <c r="E55" t="s">
        <v>3668</v>
      </c>
      <c r="F55" t="s">
        <v>3562</v>
      </c>
      <c r="G55" t="s">
        <v>1705</v>
      </c>
    </row>
    <row r="56" customHeight="1" spans="1:7">
      <c r="A56" t="s">
        <v>16</v>
      </c>
      <c r="B56" t="s">
        <v>3665</v>
      </c>
      <c r="C56" t="s">
        <v>3666</v>
      </c>
      <c r="D56" t="s">
        <v>3669</v>
      </c>
      <c r="E56" t="s">
        <v>3670</v>
      </c>
      <c r="F56" t="s">
        <v>3562</v>
      </c>
      <c r="G56" t="s">
        <v>1708</v>
      </c>
    </row>
    <row r="57" customHeight="1" spans="1:7">
      <c r="A57" t="s">
        <v>16</v>
      </c>
      <c r="B57" t="s">
        <v>3665</v>
      </c>
      <c r="C57" t="s">
        <v>3666</v>
      </c>
      <c r="D57" t="s">
        <v>3671</v>
      </c>
      <c r="E57" t="s">
        <v>3672</v>
      </c>
      <c r="F57" t="s">
        <v>3562</v>
      </c>
      <c r="G57" t="s">
        <v>1711</v>
      </c>
    </row>
    <row r="58" customHeight="1" spans="1:7">
      <c r="A58" t="s">
        <v>16</v>
      </c>
      <c r="B58" t="s">
        <v>3665</v>
      </c>
      <c r="C58" t="s">
        <v>3666</v>
      </c>
      <c r="D58" t="s">
        <v>3673</v>
      </c>
      <c r="E58" t="s">
        <v>3674</v>
      </c>
      <c r="F58" t="s">
        <v>3562</v>
      </c>
      <c r="G58" t="s">
        <v>1714</v>
      </c>
    </row>
    <row r="59" customHeight="1" spans="1:7">
      <c r="A59" t="s">
        <v>16</v>
      </c>
      <c r="B59" t="s">
        <v>3665</v>
      </c>
      <c r="C59" t="s">
        <v>3666</v>
      </c>
      <c r="D59" t="s">
        <v>3675</v>
      </c>
      <c r="E59" t="s">
        <v>3676</v>
      </c>
      <c r="F59" t="s">
        <v>3562</v>
      </c>
      <c r="G59" t="s">
        <v>1718</v>
      </c>
    </row>
    <row r="60" customHeight="1" spans="1:7">
      <c r="A60" t="s">
        <v>16</v>
      </c>
      <c r="B60" t="s">
        <v>3665</v>
      </c>
      <c r="C60" t="s">
        <v>3666</v>
      </c>
      <c r="D60" t="s">
        <v>3677</v>
      </c>
      <c r="E60" t="s">
        <v>3678</v>
      </c>
      <c r="F60" t="s">
        <v>3562</v>
      </c>
      <c r="G60" t="s">
        <v>1721</v>
      </c>
    </row>
    <row r="61" customHeight="1" spans="1:7">
      <c r="A61" t="s">
        <v>16</v>
      </c>
      <c r="B61" t="s">
        <v>3665</v>
      </c>
      <c r="C61" t="s">
        <v>3666</v>
      </c>
      <c r="D61" t="s">
        <v>3679</v>
      </c>
      <c r="E61" t="s">
        <v>3680</v>
      </c>
      <c r="F61" t="s">
        <v>3562</v>
      </c>
      <c r="G61" t="s">
        <v>3681</v>
      </c>
    </row>
    <row r="62" customHeight="1" spans="1:7">
      <c r="A62" t="s">
        <v>16</v>
      </c>
      <c r="B62" t="s">
        <v>3665</v>
      </c>
      <c r="C62" t="s">
        <v>3666</v>
      </c>
      <c r="D62" t="s">
        <v>3682</v>
      </c>
      <c r="E62" t="s">
        <v>3683</v>
      </c>
      <c r="F62" t="s">
        <v>3562</v>
      </c>
      <c r="G62" t="s">
        <v>3684</v>
      </c>
    </row>
    <row r="63" customHeight="1" spans="1:7">
      <c r="A63" t="s">
        <v>16</v>
      </c>
      <c r="B63" t="s">
        <v>3665</v>
      </c>
      <c r="C63" t="s">
        <v>3666</v>
      </c>
      <c r="D63" t="s">
        <v>3685</v>
      </c>
      <c r="E63" t="s">
        <v>3686</v>
      </c>
      <c r="F63" t="s">
        <v>3562</v>
      </c>
      <c r="G63" t="s">
        <v>3687</v>
      </c>
    </row>
    <row r="64" customHeight="1" spans="1:7">
      <c r="A64" t="s">
        <v>16</v>
      </c>
      <c r="B64" t="s">
        <v>3665</v>
      </c>
      <c r="C64" t="s">
        <v>3666</v>
      </c>
      <c r="D64" t="s">
        <v>3688</v>
      </c>
      <c r="E64" t="s">
        <v>3689</v>
      </c>
      <c r="F64" t="s">
        <v>3562</v>
      </c>
      <c r="G64" t="s">
        <v>3690</v>
      </c>
    </row>
    <row r="65" customHeight="1" spans="1:7">
      <c r="A65" t="s">
        <v>16</v>
      </c>
      <c r="B65" t="s">
        <v>3665</v>
      </c>
      <c r="C65" t="s">
        <v>3666</v>
      </c>
      <c r="D65" t="s">
        <v>3691</v>
      </c>
      <c r="E65" t="s">
        <v>3692</v>
      </c>
      <c r="F65" t="s">
        <v>3562</v>
      </c>
      <c r="G65" t="s">
        <v>3693</v>
      </c>
    </row>
    <row r="66" customHeight="1" spans="1:7">
      <c r="A66" t="s">
        <v>16</v>
      </c>
      <c r="B66" t="s">
        <v>3665</v>
      </c>
      <c r="C66" t="s">
        <v>3666</v>
      </c>
      <c r="D66" t="s">
        <v>3694</v>
      </c>
      <c r="E66" t="s">
        <v>3695</v>
      </c>
      <c r="F66" t="s">
        <v>3562</v>
      </c>
      <c r="G66" t="s">
        <v>3696</v>
      </c>
    </row>
    <row r="67" customHeight="1" spans="1:7">
      <c r="A67" t="s">
        <v>16</v>
      </c>
      <c r="B67" t="s">
        <v>3665</v>
      </c>
      <c r="C67" t="s">
        <v>3666</v>
      </c>
      <c r="D67" t="s">
        <v>3697</v>
      </c>
      <c r="E67" t="s">
        <v>3698</v>
      </c>
      <c r="F67" t="s">
        <v>3562</v>
      </c>
      <c r="G67" t="s">
        <v>2039</v>
      </c>
    </row>
    <row r="68" customHeight="1" spans="1:7">
      <c r="A68" t="s">
        <v>16</v>
      </c>
      <c r="B68" t="s">
        <v>3665</v>
      </c>
      <c r="C68" t="s">
        <v>3666</v>
      </c>
      <c r="D68" t="s">
        <v>3699</v>
      </c>
      <c r="E68" t="s">
        <v>3700</v>
      </c>
      <c r="F68" t="s">
        <v>3562</v>
      </c>
      <c r="G68" t="s">
        <v>3701</v>
      </c>
    </row>
    <row r="69" customHeight="1" spans="1:7">
      <c r="A69" t="s">
        <v>16</v>
      </c>
      <c r="B69" t="s">
        <v>3665</v>
      </c>
      <c r="C69" t="s">
        <v>3666</v>
      </c>
      <c r="D69" t="s">
        <v>3702</v>
      </c>
      <c r="E69" t="s">
        <v>3703</v>
      </c>
      <c r="F69" t="s">
        <v>3562</v>
      </c>
      <c r="G69" t="s">
        <v>2242</v>
      </c>
    </row>
    <row r="70" customHeight="1" spans="1:7">
      <c r="A70" t="s">
        <v>16</v>
      </c>
      <c r="B70" t="s">
        <v>3665</v>
      </c>
      <c r="C70" t="s">
        <v>3666</v>
      </c>
      <c r="D70" t="s">
        <v>3704</v>
      </c>
      <c r="E70" t="s">
        <v>3705</v>
      </c>
      <c r="F70" t="s">
        <v>3562</v>
      </c>
      <c r="G70" t="s">
        <v>3706</v>
      </c>
    </row>
    <row r="71" customHeight="1" spans="1:7">
      <c r="A71" t="s">
        <v>16</v>
      </c>
      <c r="B71" t="s">
        <v>3665</v>
      </c>
      <c r="C71" t="s">
        <v>3666</v>
      </c>
      <c r="D71" t="s">
        <v>3707</v>
      </c>
      <c r="E71" t="s">
        <v>3708</v>
      </c>
      <c r="F71" t="s">
        <v>3562</v>
      </c>
      <c r="G71" t="s">
        <v>3709</v>
      </c>
    </row>
    <row r="72" customHeight="1" spans="1:7">
      <c r="A72" t="s">
        <v>16</v>
      </c>
      <c r="B72" t="s">
        <v>3665</v>
      </c>
      <c r="C72" t="s">
        <v>3666</v>
      </c>
      <c r="D72" t="s">
        <v>3710</v>
      </c>
      <c r="E72" t="s">
        <v>3711</v>
      </c>
      <c r="F72" t="s">
        <v>3562</v>
      </c>
      <c r="G72" t="s">
        <v>3712</v>
      </c>
    </row>
    <row r="73" customHeight="1" spans="1:7">
      <c r="A73" t="s">
        <v>16</v>
      </c>
      <c r="B73" t="s">
        <v>3665</v>
      </c>
      <c r="C73" t="s">
        <v>3666</v>
      </c>
      <c r="D73" t="s">
        <v>3713</v>
      </c>
      <c r="E73" t="s">
        <v>3714</v>
      </c>
      <c r="F73" t="s">
        <v>3562</v>
      </c>
      <c r="G73" t="s">
        <v>3715</v>
      </c>
    </row>
    <row r="74" customHeight="1" spans="1:7">
      <c r="A74" t="s">
        <v>16</v>
      </c>
      <c r="B74" t="s">
        <v>3665</v>
      </c>
      <c r="C74" t="s">
        <v>3666</v>
      </c>
      <c r="D74" t="s">
        <v>3716</v>
      </c>
      <c r="E74" t="s">
        <v>3717</v>
      </c>
      <c r="F74" t="s">
        <v>3562</v>
      </c>
      <c r="G74" t="s">
        <v>3718</v>
      </c>
    </row>
    <row r="75" customHeight="1" spans="1:7">
      <c r="A75" t="s">
        <v>16</v>
      </c>
      <c r="B75" t="s">
        <v>3665</v>
      </c>
      <c r="C75" t="s">
        <v>3666</v>
      </c>
      <c r="D75" t="s">
        <v>3719</v>
      </c>
      <c r="E75" t="s">
        <v>3720</v>
      </c>
      <c r="F75" t="s">
        <v>3664</v>
      </c>
      <c r="G75" t="s">
        <v>3721</v>
      </c>
    </row>
    <row r="76" customHeight="1" spans="1:7">
      <c r="A76" t="s">
        <v>16</v>
      </c>
      <c r="B76" t="s">
        <v>3722</v>
      </c>
      <c r="C76" t="s">
        <v>3723</v>
      </c>
      <c r="D76" t="s">
        <v>3724</v>
      </c>
      <c r="E76" t="s">
        <v>3725</v>
      </c>
      <c r="F76" t="s">
        <v>3562</v>
      </c>
      <c r="G76" t="s">
        <v>3726</v>
      </c>
    </row>
    <row r="77" customHeight="1" spans="1:7">
      <c r="A77" t="s">
        <v>16</v>
      </c>
      <c r="B77" t="s">
        <v>3722</v>
      </c>
      <c r="C77" t="s">
        <v>3723</v>
      </c>
      <c r="D77" t="s">
        <v>3727</v>
      </c>
      <c r="E77" t="s">
        <v>3728</v>
      </c>
      <c r="F77" t="s">
        <v>3562</v>
      </c>
      <c r="G77" t="s">
        <v>3729</v>
      </c>
    </row>
    <row r="78" customHeight="1" spans="1:7">
      <c r="A78" t="s">
        <v>16</v>
      </c>
      <c r="B78" t="s">
        <v>3722</v>
      </c>
      <c r="C78" t="s">
        <v>3723</v>
      </c>
      <c r="D78" t="s">
        <v>3730</v>
      </c>
      <c r="E78" t="s">
        <v>3731</v>
      </c>
      <c r="F78" t="s">
        <v>3562</v>
      </c>
      <c r="G78" t="s">
        <v>3732</v>
      </c>
    </row>
    <row r="79" customHeight="1" spans="1:7">
      <c r="A79" t="s">
        <v>16</v>
      </c>
      <c r="B79" t="s">
        <v>3722</v>
      </c>
      <c r="C79" t="s">
        <v>3723</v>
      </c>
      <c r="D79" t="s">
        <v>3722</v>
      </c>
      <c r="E79" t="s">
        <v>3723</v>
      </c>
      <c r="F79" t="s">
        <v>3559</v>
      </c>
      <c r="G79" t="s">
        <v>3733</v>
      </c>
    </row>
    <row r="80" customHeight="1" spans="1:7">
      <c r="A80" t="s">
        <v>16</v>
      </c>
      <c r="B80" t="s">
        <v>3722</v>
      </c>
      <c r="C80" t="s">
        <v>3723</v>
      </c>
      <c r="D80" t="s">
        <v>3734</v>
      </c>
      <c r="E80" t="s">
        <v>3735</v>
      </c>
      <c r="F80" t="s">
        <v>3562</v>
      </c>
      <c r="G80" t="s">
        <v>3736</v>
      </c>
    </row>
    <row r="81" customHeight="1" spans="1:7">
      <c r="A81" t="s">
        <v>16</v>
      </c>
      <c r="B81" t="s">
        <v>3722</v>
      </c>
      <c r="C81" t="s">
        <v>3723</v>
      </c>
      <c r="D81" t="s">
        <v>3737</v>
      </c>
      <c r="E81" t="s">
        <v>3738</v>
      </c>
      <c r="F81" t="s">
        <v>3562</v>
      </c>
      <c r="G81" t="s">
        <v>3739</v>
      </c>
    </row>
    <row r="82" customHeight="1" spans="1:7">
      <c r="A82" t="s">
        <v>16</v>
      </c>
      <c r="B82" t="s">
        <v>3722</v>
      </c>
      <c r="C82" t="s">
        <v>3723</v>
      </c>
      <c r="D82" t="s">
        <v>3740</v>
      </c>
      <c r="E82" t="s">
        <v>3741</v>
      </c>
      <c r="F82" t="s">
        <v>3562</v>
      </c>
      <c r="G82" t="s">
        <v>3742</v>
      </c>
    </row>
    <row r="83" customHeight="1" spans="1:7">
      <c r="A83" t="s">
        <v>16</v>
      </c>
      <c r="B83" t="s">
        <v>3722</v>
      </c>
      <c r="C83" t="s">
        <v>3723</v>
      </c>
      <c r="D83" t="s">
        <v>3743</v>
      </c>
      <c r="E83" t="s">
        <v>3744</v>
      </c>
      <c r="F83" t="s">
        <v>3562</v>
      </c>
      <c r="G83" t="s">
        <v>3745</v>
      </c>
    </row>
    <row r="84" customHeight="1" spans="1:7">
      <c r="A84" t="s">
        <v>16</v>
      </c>
      <c r="B84" t="s">
        <v>3722</v>
      </c>
      <c r="C84" t="s">
        <v>3723</v>
      </c>
      <c r="D84" t="s">
        <v>3746</v>
      </c>
      <c r="E84" t="s">
        <v>3747</v>
      </c>
      <c r="F84" t="s">
        <v>3562</v>
      </c>
      <c r="G84" t="s">
        <v>3748</v>
      </c>
    </row>
    <row r="85" customHeight="1" spans="1:7">
      <c r="A85" t="s">
        <v>16</v>
      </c>
      <c r="B85" t="s">
        <v>3722</v>
      </c>
      <c r="C85" t="s">
        <v>3723</v>
      </c>
      <c r="D85" t="s">
        <v>3749</v>
      </c>
      <c r="E85" t="s">
        <v>3750</v>
      </c>
      <c r="F85" t="s">
        <v>3562</v>
      </c>
      <c r="G85" t="s">
        <v>3751</v>
      </c>
    </row>
    <row r="86" customHeight="1" spans="1:7">
      <c r="A86" t="s">
        <v>16</v>
      </c>
      <c r="B86" t="s">
        <v>3722</v>
      </c>
      <c r="C86" t="s">
        <v>3723</v>
      </c>
      <c r="D86" t="s">
        <v>3752</v>
      </c>
      <c r="E86" t="s">
        <v>3753</v>
      </c>
      <c r="F86" t="s">
        <v>3562</v>
      </c>
      <c r="G86" t="s">
        <v>3754</v>
      </c>
    </row>
    <row r="87" customHeight="1" spans="1:7">
      <c r="A87" t="s">
        <v>16</v>
      </c>
      <c r="B87" t="s">
        <v>3722</v>
      </c>
      <c r="C87" t="s">
        <v>3723</v>
      </c>
      <c r="D87" t="s">
        <v>3755</v>
      </c>
      <c r="E87" t="s">
        <v>3756</v>
      </c>
      <c r="F87" t="s">
        <v>3562</v>
      </c>
      <c r="G87" t="s">
        <v>3757</v>
      </c>
    </row>
    <row r="88" customHeight="1" spans="1:7">
      <c r="A88" t="s">
        <v>16</v>
      </c>
      <c r="B88" t="s">
        <v>3722</v>
      </c>
      <c r="C88" t="s">
        <v>3723</v>
      </c>
      <c r="D88" t="s">
        <v>3758</v>
      </c>
      <c r="E88" t="s">
        <v>3759</v>
      </c>
      <c r="F88" t="s">
        <v>3562</v>
      </c>
      <c r="G88" t="s">
        <v>3760</v>
      </c>
    </row>
    <row r="89" customHeight="1" spans="1:7">
      <c r="A89" t="s">
        <v>16</v>
      </c>
      <c r="B89" t="s">
        <v>3722</v>
      </c>
      <c r="C89" t="s">
        <v>3723</v>
      </c>
      <c r="D89" t="s">
        <v>3761</v>
      </c>
      <c r="E89" t="s">
        <v>3762</v>
      </c>
      <c r="F89" t="s">
        <v>3562</v>
      </c>
      <c r="G89" t="s">
        <v>3763</v>
      </c>
    </row>
    <row r="90" customHeight="1" spans="1:7">
      <c r="A90" t="s">
        <v>16</v>
      </c>
      <c r="B90" t="s">
        <v>3722</v>
      </c>
      <c r="C90" t="s">
        <v>3723</v>
      </c>
      <c r="D90" t="s">
        <v>3764</v>
      </c>
      <c r="E90" t="s">
        <v>3765</v>
      </c>
      <c r="F90" t="s">
        <v>3562</v>
      </c>
      <c r="G90" t="s">
        <v>3766</v>
      </c>
    </row>
    <row r="91" customHeight="1" spans="1:7">
      <c r="A91" t="s">
        <v>16</v>
      </c>
      <c r="B91" t="s">
        <v>3722</v>
      </c>
      <c r="C91" t="s">
        <v>3723</v>
      </c>
      <c r="D91" t="s">
        <v>3767</v>
      </c>
      <c r="E91" t="s">
        <v>3768</v>
      </c>
      <c r="F91" t="s">
        <v>3562</v>
      </c>
      <c r="G91" t="s">
        <v>3769</v>
      </c>
    </row>
    <row r="92" customHeight="1" spans="1:7">
      <c r="A92" t="s">
        <v>16</v>
      </c>
      <c r="B92" t="s">
        <v>3722</v>
      </c>
      <c r="C92" t="s">
        <v>3723</v>
      </c>
      <c r="D92" t="s">
        <v>3770</v>
      </c>
      <c r="E92" t="s">
        <v>3771</v>
      </c>
      <c r="F92" t="s">
        <v>3562</v>
      </c>
      <c r="G92" t="s">
        <v>3772</v>
      </c>
    </row>
    <row r="93" customHeight="1" spans="1:7">
      <c r="A93" t="s">
        <v>16</v>
      </c>
      <c r="B93" t="s">
        <v>3722</v>
      </c>
      <c r="C93" t="s">
        <v>3723</v>
      </c>
      <c r="D93" t="s">
        <v>3773</v>
      </c>
      <c r="E93" t="s">
        <v>3774</v>
      </c>
      <c r="F93" t="s">
        <v>3562</v>
      </c>
      <c r="G93" t="s">
        <v>3775</v>
      </c>
    </row>
    <row r="94" customHeight="1" spans="1:7">
      <c r="A94" t="s">
        <v>16</v>
      </c>
      <c r="B94" t="s">
        <v>3722</v>
      </c>
      <c r="C94" t="s">
        <v>3723</v>
      </c>
      <c r="D94" t="s">
        <v>3776</v>
      </c>
      <c r="E94" t="s">
        <v>3777</v>
      </c>
      <c r="F94" t="s">
        <v>3562</v>
      </c>
      <c r="G94" t="s">
        <v>3778</v>
      </c>
    </row>
    <row r="95" customHeight="1" spans="1:7">
      <c r="A95" t="s">
        <v>16</v>
      </c>
      <c r="B95" t="s">
        <v>3722</v>
      </c>
      <c r="C95" t="s">
        <v>3723</v>
      </c>
      <c r="D95" t="s">
        <v>3779</v>
      </c>
      <c r="E95" t="s">
        <v>3780</v>
      </c>
      <c r="F95" t="s">
        <v>3562</v>
      </c>
      <c r="G95" t="s">
        <v>3781</v>
      </c>
    </row>
    <row r="96" customHeight="1" spans="1:7">
      <c r="A96" t="s">
        <v>16</v>
      </c>
      <c r="B96" t="s">
        <v>3722</v>
      </c>
      <c r="C96" t="s">
        <v>3723</v>
      </c>
      <c r="D96" t="s">
        <v>3782</v>
      </c>
      <c r="E96" t="s">
        <v>3783</v>
      </c>
      <c r="F96" t="s">
        <v>3562</v>
      </c>
      <c r="G96" t="s">
        <v>3784</v>
      </c>
    </row>
    <row r="97" customHeight="1" spans="1:7">
      <c r="A97" t="s">
        <v>16</v>
      </c>
      <c r="B97" t="s">
        <v>3722</v>
      </c>
      <c r="C97" t="s">
        <v>3723</v>
      </c>
      <c r="D97" t="s">
        <v>3785</v>
      </c>
      <c r="E97" t="s">
        <v>3786</v>
      </c>
      <c r="F97" t="s">
        <v>3562</v>
      </c>
      <c r="G97" t="s">
        <v>3787</v>
      </c>
    </row>
    <row r="98" customHeight="1" spans="1:7">
      <c r="A98" t="s">
        <v>16</v>
      </c>
      <c r="B98" t="s">
        <v>3722</v>
      </c>
      <c r="C98" t="s">
        <v>3723</v>
      </c>
      <c r="D98" t="s">
        <v>3788</v>
      </c>
      <c r="E98" t="s">
        <v>3789</v>
      </c>
      <c r="F98" t="s">
        <v>3562</v>
      </c>
      <c r="G98" t="s">
        <v>3790</v>
      </c>
    </row>
    <row r="99" customHeight="1" spans="1:7">
      <c r="A99" t="s">
        <v>16</v>
      </c>
      <c r="B99" t="s">
        <v>3722</v>
      </c>
      <c r="C99" t="s">
        <v>3723</v>
      </c>
      <c r="D99" t="s">
        <v>3648</v>
      </c>
      <c r="E99" t="s">
        <v>3791</v>
      </c>
      <c r="F99" t="s">
        <v>3562</v>
      </c>
      <c r="G99" t="s">
        <v>3792</v>
      </c>
    </row>
    <row r="100" customHeight="1" spans="1:7">
      <c r="A100" t="s">
        <v>16</v>
      </c>
      <c r="B100" t="s">
        <v>3722</v>
      </c>
      <c r="C100" t="s">
        <v>3723</v>
      </c>
      <c r="D100" t="s">
        <v>3793</v>
      </c>
      <c r="E100" t="s">
        <v>3794</v>
      </c>
      <c r="F100" t="s">
        <v>3562</v>
      </c>
      <c r="G100" t="s">
        <v>3795</v>
      </c>
    </row>
    <row r="101" customHeight="1" spans="1:7">
      <c r="A101" t="s">
        <v>16</v>
      </c>
      <c r="B101" t="s">
        <v>3722</v>
      </c>
      <c r="C101" t="s">
        <v>3723</v>
      </c>
      <c r="D101" t="s">
        <v>3796</v>
      </c>
      <c r="E101" t="s">
        <v>3797</v>
      </c>
      <c r="F101" t="s">
        <v>3562</v>
      </c>
      <c r="G101" t="s">
        <v>3798</v>
      </c>
    </row>
    <row r="102" customHeight="1" spans="1:7">
      <c r="A102" t="s">
        <v>16</v>
      </c>
      <c r="B102" t="s">
        <v>3722</v>
      </c>
      <c r="C102" t="s">
        <v>3723</v>
      </c>
      <c r="D102" t="s">
        <v>3799</v>
      </c>
      <c r="E102" t="s">
        <v>3800</v>
      </c>
      <c r="F102" t="s">
        <v>3562</v>
      </c>
      <c r="G102" t="s">
        <v>3801</v>
      </c>
    </row>
    <row r="103" customHeight="1" spans="1:7">
      <c r="A103" t="s">
        <v>16</v>
      </c>
      <c r="B103" t="s">
        <v>3802</v>
      </c>
      <c r="C103" t="s">
        <v>3803</v>
      </c>
      <c r="D103" t="s">
        <v>3802</v>
      </c>
      <c r="E103" t="s">
        <v>3803</v>
      </c>
      <c r="F103" t="s">
        <v>3559</v>
      </c>
      <c r="G103" t="s">
        <v>3804</v>
      </c>
    </row>
    <row r="104" customHeight="1" spans="1:7">
      <c r="A104" t="s">
        <v>16</v>
      </c>
      <c r="B104" t="s">
        <v>3802</v>
      </c>
      <c r="C104" t="s">
        <v>3803</v>
      </c>
      <c r="D104" t="s">
        <v>3805</v>
      </c>
      <c r="E104" t="s">
        <v>3806</v>
      </c>
      <c r="F104" t="s">
        <v>3562</v>
      </c>
      <c r="G104" t="s">
        <v>3807</v>
      </c>
    </row>
    <row r="105" customHeight="1" spans="1:7">
      <c r="A105" t="s">
        <v>16</v>
      </c>
      <c r="B105" t="s">
        <v>3802</v>
      </c>
      <c r="C105" t="s">
        <v>3803</v>
      </c>
      <c r="D105" t="s">
        <v>3808</v>
      </c>
      <c r="E105" t="s">
        <v>3809</v>
      </c>
      <c r="F105" t="s">
        <v>3562</v>
      </c>
      <c r="G105" t="s">
        <v>3810</v>
      </c>
    </row>
    <row r="106" customHeight="1" spans="1:7">
      <c r="A106" t="s">
        <v>16</v>
      </c>
      <c r="B106" t="s">
        <v>3802</v>
      </c>
      <c r="C106" t="s">
        <v>3803</v>
      </c>
      <c r="D106" t="s">
        <v>3811</v>
      </c>
      <c r="E106" t="s">
        <v>3812</v>
      </c>
      <c r="F106" t="s">
        <v>3562</v>
      </c>
      <c r="G106" t="s">
        <v>3813</v>
      </c>
    </row>
    <row r="107" customHeight="1" spans="1:7">
      <c r="A107" t="s">
        <v>16</v>
      </c>
      <c r="B107" t="s">
        <v>3802</v>
      </c>
      <c r="C107" t="s">
        <v>3803</v>
      </c>
      <c r="D107" t="s">
        <v>3814</v>
      </c>
      <c r="E107" t="s">
        <v>3815</v>
      </c>
      <c r="F107" t="s">
        <v>3562</v>
      </c>
      <c r="G107" t="s">
        <v>3816</v>
      </c>
    </row>
    <row r="108" customHeight="1" spans="1:7">
      <c r="A108" t="s">
        <v>16</v>
      </c>
      <c r="B108" t="s">
        <v>3802</v>
      </c>
      <c r="C108" t="s">
        <v>3803</v>
      </c>
      <c r="D108" t="s">
        <v>3817</v>
      </c>
      <c r="E108" t="s">
        <v>3818</v>
      </c>
      <c r="F108" t="s">
        <v>3562</v>
      </c>
      <c r="G108" t="s">
        <v>3819</v>
      </c>
    </row>
    <row r="109" customHeight="1" spans="1:7">
      <c r="A109" t="s">
        <v>16</v>
      </c>
      <c r="B109" t="s">
        <v>3802</v>
      </c>
      <c r="C109" t="s">
        <v>3803</v>
      </c>
      <c r="D109" t="s">
        <v>3820</v>
      </c>
      <c r="E109" t="s">
        <v>3821</v>
      </c>
      <c r="F109" t="s">
        <v>3562</v>
      </c>
      <c r="G109" t="s">
        <v>3822</v>
      </c>
    </row>
    <row r="110" customHeight="1" spans="1:7">
      <c r="A110" t="s">
        <v>16</v>
      </c>
      <c r="B110" t="s">
        <v>3802</v>
      </c>
      <c r="C110" t="s">
        <v>3803</v>
      </c>
      <c r="D110" t="s">
        <v>3823</v>
      </c>
      <c r="E110" t="s">
        <v>3824</v>
      </c>
      <c r="F110" t="s">
        <v>3562</v>
      </c>
      <c r="G110" t="s">
        <v>3825</v>
      </c>
    </row>
    <row r="111" customHeight="1" spans="1:7">
      <c r="A111" t="s">
        <v>16</v>
      </c>
      <c r="B111" t="s">
        <v>3802</v>
      </c>
      <c r="C111" t="s">
        <v>3803</v>
      </c>
      <c r="D111" t="s">
        <v>3826</v>
      </c>
      <c r="E111" t="s">
        <v>3827</v>
      </c>
      <c r="F111" t="s">
        <v>3562</v>
      </c>
      <c r="G111" t="s">
        <v>3828</v>
      </c>
    </row>
    <row r="112" customHeight="1" spans="1:7">
      <c r="A112" t="s">
        <v>16</v>
      </c>
      <c r="B112" t="s">
        <v>3802</v>
      </c>
      <c r="C112" t="s">
        <v>3803</v>
      </c>
      <c r="D112" t="s">
        <v>3829</v>
      </c>
      <c r="E112" t="s">
        <v>3830</v>
      </c>
      <c r="F112" t="s">
        <v>3562</v>
      </c>
      <c r="G112" t="s">
        <v>3831</v>
      </c>
    </row>
    <row r="113" customHeight="1" spans="1:7">
      <c r="A113" t="s">
        <v>16</v>
      </c>
      <c r="B113" t="s">
        <v>3802</v>
      </c>
      <c r="C113" t="s">
        <v>3803</v>
      </c>
      <c r="D113" t="s">
        <v>3832</v>
      </c>
      <c r="E113" t="s">
        <v>3833</v>
      </c>
      <c r="F113" t="s">
        <v>3562</v>
      </c>
      <c r="G113" t="s">
        <v>3834</v>
      </c>
    </row>
    <row r="114" customHeight="1" spans="1:7">
      <c r="A114" t="s">
        <v>16</v>
      </c>
      <c r="B114" t="s">
        <v>3802</v>
      </c>
      <c r="C114" t="s">
        <v>3803</v>
      </c>
      <c r="D114" t="s">
        <v>3835</v>
      </c>
      <c r="E114" t="s">
        <v>3836</v>
      </c>
      <c r="F114" t="s">
        <v>3562</v>
      </c>
      <c r="G114" t="s">
        <v>3837</v>
      </c>
    </row>
    <row r="115" customHeight="1" spans="1:7">
      <c r="A115" t="s">
        <v>16</v>
      </c>
      <c r="B115" t="s">
        <v>3802</v>
      </c>
      <c r="C115" t="s">
        <v>3803</v>
      </c>
      <c r="D115" t="s">
        <v>3838</v>
      </c>
      <c r="E115" t="s">
        <v>3839</v>
      </c>
      <c r="F115" t="s">
        <v>3562</v>
      </c>
      <c r="G115" t="s">
        <v>3840</v>
      </c>
    </row>
    <row r="116" customHeight="1" spans="1:7">
      <c r="A116" t="s">
        <v>16</v>
      </c>
      <c r="B116" t="s">
        <v>3802</v>
      </c>
      <c r="C116" t="s">
        <v>3803</v>
      </c>
      <c r="D116" t="s">
        <v>3841</v>
      </c>
      <c r="E116" t="s">
        <v>3842</v>
      </c>
      <c r="F116" t="s">
        <v>3562</v>
      </c>
      <c r="G116" t="s">
        <v>3843</v>
      </c>
    </row>
    <row r="117" customHeight="1" spans="1:7">
      <c r="A117" t="s">
        <v>16</v>
      </c>
      <c r="B117" t="s">
        <v>3802</v>
      </c>
      <c r="C117" t="s">
        <v>3803</v>
      </c>
      <c r="D117" t="s">
        <v>3844</v>
      </c>
      <c r="E117" t="s">
        <v>3845</v>
      </c>
      <c r="F117" t="s">
        <v>3562</v>
      </c>
      <c r="G117" t="s">
        <v>3846</v>
      </c>
    </row>
    <row r="118" customHeight="1" spans="1:7">
      <c r="A118" t="s">
        <v>16</v>
      </c>
      <c r="B118" t="s">
        <v>3802</v>
      </c>
      <c r="C118" t="s">
        <v>3803</v>
      </c>
      <c r="D118" t="s">
        <v>3847</v>
      </c>
      <c r="E118" t="s">
        <v>3848</v>
      </c>
      <c r="F118" t="s">
        <v>3562</v>
      </c>
      <c r="G118" t="s">
        <v>3849</v>
      </c>
    </row>
    <row r="119" customHeight="1" spans="1:7">
      <c r="A119" t="s">
        <v>16</v>
      </c>
      <c r="B119" t="s">
        <v>3802</v>
      </c>
      <c r="C119" t="s">
        <v>3803</v>
      </c>
      <c r="D119" t="s">
        <v>3850</v>
      </c>
      <c r="E119" t="s">
        <v>3851</v>
      </c>
      <c r="F119" t="s">
        <v>3562</v>
      </c>
      <c r="G119" t="s">
        <v>3852</v>
      </c>
    </row>
    <row r="120" customHeight="1" spans="1:7">
      <c r="A120" t="s">
        <v>16</v>
      </c>
      <c r="B120" t="s">
        <v>3802</v>
      </c>
      <c r="C120" t="s">
        <v>3803</v>
      </c>
      <c r="D120" t="s">
        <v>3853</v>
      </c>
      <c r="E120" t="s">
        <v>3854</v>
      </c>
      <c r="F120" t="s">
        <v>3562</v>
      </c>
      <c r="G120" t="s">
        <v>3855</v>
      </c>
    </row>
    <row r="121" customHeight="1" spans="1:7">
      <c r="A121" t="s">
        <v>16</v>
      </c>
      <c r="B121" t="s">
        <v>3802</v>
      </c>
      <c r="C121" t="s">
        <v>3803</v>
      </c>
      <c r="D121" t="s">
        <v>3856</v>
      </c>
      <c r="E121" t="s">
        <v>3857</v>
      </c>
      <c r="F121" t="s">
        <v>3562</v>
      </c>
      <c r="G121" t="s">
        <v>3858</v>
      </c>
    </row>
    <row r="122" customHeight="1" spans="1:7">
      <c r="A122" t="s">
        <v>16</v>
      </c>
      <c r="B122" t="s">
        <v>3802</v>
      </c>
      <c r="C122" t="s">
        <v>3803</v>
      </c>
      <c r="D122" t="s">
        <v>3859</v>
      </c>
      <c r="E122" t="s">
        <v>3860</v>
      </c>
      <c r="F122" t="s">
        <v>3562</v>
      </c>
      <c r="G122" t="s">
        <v>3861</v>
      </c>
    </row>
    <row r="123" customHeight="1" spans="1:7">
      <c r="A123" t="s">
        <v>16</v>
      </c>
      <c r="B123" t="s">
        <v>3802</v>
      </c>
      <c r="C123" t="s">
        <v>3803</v>
      </c>
      <c r="D123" t="s">
        <v>3862</v>
      </c>
      <c r="E123" t="s">
        <v>3863</v>
      </c>
      <c r="F123" t="s">
        <v>3664</v>
      </c>
      <c r="G123" t="s">
        <v>3864</v>
      </c>
    </row>
    <row r="124" customHeight="1" spans="1:7">
      <c r="A124" t="s">
        <v>16</v>
      </c>
      <c r="B124" t="s">
        <v>3865</v>
      </c>
      <c r="C124" t="s">
        <v>3866</v>
      </c>
      <c r="D124" t="s">
        <v>3865</v>
      </c>
      <c r="E124" t="s">
        <v>3866</v>
      </c>
      <c r="F124" t="s">
        <v>3559</v>
      </c>
      <c r="G124" t="s">
        <v>3867</v>
      </c>
    </row>
    <row r="125" customHeight="1" spans="1:7">
      <c r="A125" t="s">
        <v>16</v>
      </c>
      <c r="B125" t="s">
        <v>3865</v>
      </c>
      <c r="C125" t="s">
        <v>3866</v>
      </c>
      <c r="D125" t="s">
        <v>3868</v>
      </c>
      <c r="E125" t="s">
        <v>3869</v>
      </c>
      <c r="F125" t="s">
        <v>3562</v>
      </c>
      <c r="G125" t="s">
        <v>3870</v>
      </c>
    </row>
    <row r="126" customHeight="1" spans="1:7">
      <c r="A126" t="s">
        <v>16</v>
      </c>
      <c r="B126" t="s">
        <v>3865</v>
      </c>
      <c r="C126" t="s">
        <v>3866</v>
      </c>
      <c r="D126" t="s">
        <v>3871</v>
      </c>
      <c r="E126" t="s">
        <v>3872</v>
      </c>
      <c r="F126" t="s">
        <v>3562</v>
      </c>
      <c r="G126" t="s">
        <v>3873</v>
      </c>
    </row>
    <row r="127" customHeight="1" spans="1:7">
      <c r="A127" t="s">
        <v>16</v>
      </c>
      <c r="B127" t="s">
        <v>3865</v>
      </c>
      <c r="C127" t="s">
        <v>3866</v>
      </c>
      <c r="D127" t="s">
        <v>3874</v>
      </c>
      <c r="E127" t="s">
        <v>3875</v>
      </c>
      <c r="F127" t="s">
        <v>3562</v>
      </c>
      <c r="G127" t="s">
        <v>3876</v>
      </c>
    </row>
    <row r="128" customHeight="1" spans="1:7">
      <c r="A128" t="s">
        <v>16</v>
      </c>
      <c r="B128" t="s">
        <v>3865</v>
      </c>
      <c r="C128" t="s">
        <v>3866</v>
      </c>
      <c r="D128" t="s">
        <v>3877</v>
      </c>
      <c r="E128" t="s">
        <v>3878</v>
      </c>
      <c r="F128" t="s">
        <v>3562</v>
      </c>
      <c r="G128" t="s">
        <v>3879</v>
      </c>
    </row>
    <row r="129" customHeight="1" spans="1:7">
      <c r="A129" t="s">
        <v>16</v>
      </c>
      <c r="B129" t="s">
        <v>3865</v>
      </c>
      <c r="C129" t="s">
        <v>3866</v>
      </c>
      <c r="D129" t="s">
        <v>3880</v>
      </c>
      <c r="E129" t="s">
        <v>3881</v>
      </c>
      <c r="F129" t="s">
        <v>3562</v>
      </c>
      <c r="G129" t="s">
        <v>3882</v>
      </c>
    </row>
    <row r="130" customHeight="1" spans="1:7">
      <c r="A130" t="s">
        <v>16</v>
      </c>
      <c r="B130" t="s">
        <v>3865</v>
      </c>
      <c r="C130" t="s">
        <v>3866</v>
      </c>
      <c r="D130" t="s">
        <v>3883</v>
      </c>
      <c r="E130" t="s">
        <v>3884</v>
      </c>
      <c r="F130" t="s">
        <v>3562</v>
      </c>
      <c r="G130" t="s">
        <v>3885</v>
      </c>
    </row>
    <row r="131" customHeight="1" spans="1:7">
      <c r="A131" t="s">
        <v>16</v>
      </c>
      <c r="B131" t="s">
        <v>3865</v>
      </c>
      <c r="C131" t="s">
        <v>3866</v>
      </c>
      <c r="D131" t="s">
        <v>3886</v>
      </c>
      <c r="E131" t="s">
        <v>3887</v>
      </c>
      <c r="F131" t="s">
        <v>3562</v>
      </c>
      <c r="G131" t="s">
        <v>3888</v>
      </c>
    </row>
    <row r="132" customHeight="1" spans="1:7">
      <c r="A132" t="s">
        <v>16</v>
      </c>
      <c r="B132" t="s">
        <v>3865</v>
      </c>
      <c r="C132" t="s">
        <v>3866</v>
      </c>
      <c r="D132" t="s">
        <v>3889</v>
      </c>
      <c r="E132" t="s">
        <v>3890</v>
      </c>
      <c r="F132" t="s">
        <v>3562</v>
      </c>
      <c r="G132" t="s">
        <v>3891</v>
      </c>
    </row>
    <row r="133" customHeight="1" spans="1:7">
      <c r="A133" t="s">
        <v>16</v>
      </c>
      <c r="B133" t="s">
        <v>3865</v>
      </c>
      <c r="C133" t="s">
        <v>3866</v>
      </c>
      <c r="D133" t="s">
        <v>3892</v>
      </c>
      <c r="E133" t="s">
        <v>3893</v>
      </c>
      <c r="F133" t="s">
        <v>3562</v>
      </c>
      <c r="G133" t="s">
        <v>3894</v>
      </c>
    </row>
    <row r="134" customHeight="1" spans="1:7">
      <c r="A134" t="s">
        <v>16</v>
      </c>
      <c r="B134" t="s">
        <v>3865</v>
      </c>
      <c r="C134" t="s">
        <v>3866</v>
      </c>
      <c r="D134" t="s">
        <v>3895</v>
      </c>
      <c r="E134" t="s">
        <v>3896</v>
      </c>
      <c r="F134" t="s">
        <v>3562</v>
      </c>
      <c r="G134" t="s">
        <v>3897</v>
      </c>
    </row>
    <row r="135" customHeight="1" spans="1:7">
      <c r="A135" t="s">
        <v>16</v>
      </c>
      <c r="B135" t="s">
        <v>3865</v>
      </c>
      <c r="C135" t="s">
        <v>3866</v>
      </c>
      <c r="D135" t="s">
        <v>3898</v>
      </c>
      <c r="E135" t="s">
        <v>3899</v>
      </c>
      <c r="F135" t="s">
        <v>3562</v>
      </c>
      <c r="G135" t="s">
        <v>3900</v>
      </c>
    </row>
    <row r="136" customHeight="1" spans="1:7">
      <c r="A136" t="s">
        <v>16</v>
      </c>
      <c r="B136" t="s">
        <v>3865</v>
      </c>
      <c r="C136" t="s">
        <v>3866</v>
      </c>
      <c r="D136" t="s">
        <v>3901</v>
      </c>
      <c r="E136" t="s">
        <v>3902</v>
      </c>
      <c r="F136" t="s">
        <v>3562</v>
      </c>
      <c r="G136" t="s">
        <v>3903</v>
      </c>
    </row>
    <row r="137" customHeight="1" spans="1:7">
      <c r="A137" t="s">
        <v>16</v>
      </c>
      <c r="B137" t="s">
        <v>3865</v>
      </c>
      <c r="C137" t="s">
        <v>3866</v>
      </c>
      <c r="D137" t="s">
        <v>3904</v>
      </c>
      <c r="E137" t="s">
        <v>3905</v>
      </c>
      <c r="F137" t="s">
        <v>3562</v>
      </c>
      <c r="G137" t="s">
        <v>3906</v>
      </c>
    </row>
    <row r="138" customHeight="1" spans="1:7">
      <c r="A138" t="s">
        <v>16</v>
      </c>
      <c r="B138" t="s">
        <v>3865</v>
      </c>
      <c r="C138" t="s">
        <v>3866</v>
      </c>
      <c r="D138" t="s">
        <v>3907</v>
      </c>
      <c r="E138" t="s">
        <v>3908</v>
      </c>
      <c r="F138" t="s">
        <v>3562</v>
      </c>
      <c r="G138" t="s">
        <v>3909</v>
      </c>
    </row>
    <row r="139" customHeight="1" spans="1:7">
      <c r="A139" t="s">
        <v>16</v>
      </c>
      <c r="B139" t="s">
        <v>3865</v>
      </c>
      <c r="C139" t="s">
        <v>3866</v>
      </c>
      <c r="D139" t="s">
        <v>3910</v>
      </c>
      <c r="E139" t="s">
        <v>3911</v>
      </c>
      <c r="F139" t="s">
        <v>3562</v>
      </c>
      <c r="G139" t="s">
        <v>3912</v>
      </c>
    </row>
    <row r="140" customHeight="1" spans="1:7">
      <c r="A140" t="s">
        <v>16</v>
      </c>
      <c r="B140" t="s">
        <v>3865</v>
      </c>
      <c r="C140" t="s">
        <v>3866</v>
      </c>
      <c r="D140" t="s">
        <v>3913</v>
      </c>
      <c r="E140" t="s">
        <v>3914</v>
      </c>
      <c r="F140" t="s">
        <v>3562</v>
      </c>
      <c r="G140" t="s">
        <v>3915</v>
      </c>
    </row>
    <row r="141" customHeight="1" spans="1:7">
      <c r="A141" t="s">
        <v>16</v>
      </c>
      <c r="B141" t="s">
        <v>3865</v>
      </c>
      <c r="C141" t="s">
        <v>3866</v>
      </c>
      <c r="D141" t="s">
        <v>3916</v>
      </c>
      <c r="E141" t="s">
        <v>3917</v>
      </c>
      <c r="F141" t="s">
        <v>3562</v>
      </c>
      <c r="G141" t="s">
        <v>3918</v>
      </c>
    </row>
    <row r="142" customHeight="1" spans="1:7">
      <c r="A142" t="s">
        <v>16</v>
      </c>
      <c r="B142" t="s">
        <v>3865</v>
      </c>
      <c r="C142" t="s">
        <v>3866</v>
      </c>
      <c r="D142" t="s">
        <v>3919</v>
      </c>
      <c r="E142" t="s">
        <v>3920</v>
      </c>
      <c r="F142" t="s">
        <v>3562</v>
      </c>
      <c r="G142" t="s">
        <v>3921</v>
      </c>
    </row>
    <row r="143" customHeight="1" spans="1:7">
      <c r="A143" t="s">
        <v>16</v>
      </c>
      <c r="B143" t="s">
        <v>3865</v>
      </c>
      <c r="C143" t="s">
        <v>3866</v>
      </c>
      <c r="D143" t="s">
        <v>3922</v>
      </c>
      <c r="E143" t="s">
        <v>3923</v>
      </c>
      <c r="F143" t="s">
        <v>3562</v>
      </c>
      <c r="G143" t="s">
        <v>3924</v>
      </c>
    </row>
    <row r="144" customHeight="1" spans="1:7">
      <c r="A144" t="s">
        <v>16</v>
      </c>
      <c r="B144" t="s">
        <v>3865</v>
      </c>
      <c r="C144" t="s">
        <v>3866</v>
      </c>
      <c r="D144" t="s">
        <v>3925</v>
      </c>
      <c r="E144" t="s">
        <v>3926</v>
      </c>
      <c r="F144" t="s">
        <v>3562</v>
      </c>
      <c r="G144" t="s">
        <v>3927</v>
      </c>
    </row>
    <row r="145" customHeight="1" spans="1:7">
      <c r="A145" t="s">
        <v>16</v>
      </c>
      <c r="B145" t="s">
        <v>3865</v>
      </c>
      <c r="C145" t="s">
        <v>3866</v>
      </c>
      <c r="D145" t="s">
        <v>3928</v>
      </c>
      <c r="E145" t="s">
        <v>3929</v>
      </c>
      <c r="F145" t="s">
        <v>3562</v>
      </c>
      <c r="G145" t="s">
        <v>3930</v>
      </c>
    </row>
    <row r="146" customHeight="1" spans="1:7">
      <c r="A146" t="s">
        <v>16</v>
      </c>
      <c r="B146" t="s">
        <v>3931</v>
      </c>
      <c r="C146" t="s">
        <v>3932</v>
      </c>
      <c r="D146" t="s">
        <v>3933</v>
      </c>
      <c r="E146" t="s">
        <v>3934</v>
      </c>
      <c r="F146" t="s">
        <v>3562</v>
      </c>
      <c r="G146" t="s">
        <v>3935</v>
      </c>
    </row>
    <row r="147" customHeight="1" spans="1:7">
      <c r="A147" t="s">
        <v>16</v>
      </c>
      <c r="B147" t="s">
        <v>3931</v>
      </c>
      <c r="C147" t="s">
        <v>3932</v>
      </c>
      <c r="D147" t="s">
        <v>3931</v>
      </c>
      <c r="E147" t="s">
        <v>3932</v>
      </c>
      <c r="F147" t="s">
        <v>3559</v>
      </c>
      <c r="G147" t="s">
        <v>3936</v>
      </c>
    </row>
    <row r="148" customHeight="1" spans="1:7">
      <c r="A148" t="s">
        <v>16</v>
      </c>
      <c r="B148" t="s">
        <v>3931</v>
      </c>
      <c r="C148" t="s">
        <v>3932</v>
      </c>
      <c r="D148" t="s">
        <v>3937</v>
      </c>
      <c r="E148" t="s">
        <v>3938</v>
      </c>
      <c r="F148" t="s">
        <v>3562</v>
      </c>
      <c r="G148" t="s">
        <v>3939</v>
      </c>
    </row>
    <row r="149" customHeight="1" spans="1:7">
      <c r="A149" t="s">
        <v>16</v>
      </c>
      <c r="B149" t="s">
        <v>3931</v>
      </c>
      <c r="C149" t="s">
        <v>3932</v>
      </c>
      <c r="D149" t="s">
        <v>3868</v>
      </c>
      <c r="E149" t="s">
        <v>3940</v>
      </c>
      <c r="F149" t="s">
        <v>3562</v>
      </c>
      <c r="G149" t="s">
        <v>3941</v>
      </c>
    </row>
    <row r="150" customHeight="1" spans="1:7">
      <c r="A150" t="s">
        <v>16</v>
      </c>
      <c r="B150" t="s">
        <v>3931</v>
      </c>
      <c r="C150" t="s">
        <v>3932</v>
      </c>
      <c r="D150" t="s">
        <v>3942</v>
      </c>
      <c r="E150" t="s">
        <v>3943</v>
      </c>
      <c r="F150" t="s">
        <v>3562</v>
      </c>
      <c r="G150" t="s">
        <v>3944</v>
      </c>
    </row>
    <row r="151" customHeight="1" spans="1:7">
      <c r="A151" t="s">
        <v>16</v>
      </c>
      <c r="B151" t="s">
        <v>3931</v>
      </c>
      <c r="C151" t="s">
        <v>3932</v>
      </c>
      <c r="D151" t="s">
        <v>3945</v>
      </c>
      <c r="E151" t="s">
        <v>3946</v>
      </c>
      <c r="F151" t="s">
        <v>3562</v>
      </c>
      <c r="G151" t="s">
        <v>3947</v>
      </c>
    </row>
    <row r="152" customHeight="1" spans="1:7">
      <c r="A152" t="s">
        <v>16</v>
      </c>
      <c r="B152" t="s">
        <v>3931</v>
      </c>
      <c r="C152" t="s">
        <v>3932</v>
      </c>
      <c r="D152" t="s">
        <v>3874</v>
      </c>
      <c r="E152" t="s">
        <v>3948</v>
      </c>
      <c r="F152" t="s">
        <v>3562</v>
      </c>
      <c r="G152" t="s">
        <v>3949</v>
      </c>
    </row>
    <row r="153" customHeight="1" spans="1:7">
      <c r="A153" t="s">
        <v>16</v>
      </c>
      <c r="B153" t="s">
        <v>3931</v>
      </c>
      <c r="C153" t="s">
        <v>3932</v>
      </c>
      <c r="D153" t="s">
        <v>3950</v>
      </c>
      <c r="E153" t="s">
        <v>3951</v>
      </c>
      <c r="F153" t="s">
        <v>3562</v>
      </c>
      <c r="G153" t="s">
        <v>3952</v>
      </c>
    </row>
    <row r="154" customHeight="1" spans="1:7">
      <c r="A154" t="s">
        <v>16</v>
      </c>
      <c r="B154" t="s">
        <v>3931</v>
      </c>
      <c r="C154" t="s">
        <v>3932</v>
      </c>
      <c r="D154" t="s">
        <v>3953</v>
      </c>
      <c r="E154" t="s">
        <v>3954</v>
      </c>
      <c r="F154" t="s">
        <v>3562</v>
      </c>
      <c r="G154" t="s">
        <v>3955</v>
      </c>
    </row>
    <row r="155" customHeight="1" spans="1:7">
      <c r="A155" t="s">
        <v>16</v>
      </c>
      <c r="B155" t="s">
        <v>3931</v>
      </c>
      <c r="C155" t="s">
        <v>3932</v>
      </c>
      <c r="D155" t="s">
        <v>3956</v>
      </c>
      <c r="E155" t="s">
        <v>3957</v>
      </c>
      <c r="F155" t="s">
        <v>3562</v>
      </c>
      <c r="G155" t="s">
        <v>3958</v>
      </c>
    </row>
    <row r="156" customHeight="1" spans="1:7">
      <c r="A156" t="s">
        <v>16</v>
      </c>
      <c r="B156" t="s">
        <v>3931</v>
      </c>
      <c r="C156" t="s">
        <v>3932</v>
      </c>
      <c r="D156" t="s">
        <v>3959</v>
      </c>
      <c r="E156" t="s">
        <v>3960</v>
      </c>
      <c r="F156" t="s">
        <v>3562</v>
      </c>
      <c r="G156" t="s">
        <v>3961</v>
      </c>
    </row>
    <row r="157" customHeight="1" spans="1:7">
      <c r="A157" t="s">
        <v>16</v>
      </c>
      <c r="B157" t="s">
        <v>3931</v>
      </c>
      <c r="C157" t="s">
        <v>3932</v>
      </c>
      <c r="D157" t="s">
        <v>3962</v>
      </c>
      <c r="E157" t="s">
        <v>3963</v>
      </c>
      <c r="F157" t="s">
        <v>3567</v>
      </c>
      <c r="G157" t="s">
        <v>3964</v>
      </c>
    </row>
    <row r="158" customHeight="1" spans="1:7">
      <c r="A158" t="s">
        <v>16</v>
      </c>
      <c r="B158" t="s">
        <v>3931</v>
      </c>
      <c r="C158" t="s">
        <v>3932</v>
      </c>
      <c r="D158" t="s">
        <v>3965</v>
      </c>
      <c r="E158" t="s">
        <v>3966</v>
      </c>
      <c r="F158" t="s">
        <v>3562</v>
      </c>
      <c r="G158" t="s">
        <v>3967</v>
      </c>
    </row>
    <row r="159" customHeight="1" spans="1:7">
      <c r="A159" t="s">
        <v>16</v>
      </c>
      <c r="B159" t="s">
        <v>3931</v>
      </c>
      <c r="C159" t="s">
        <v>3932</v>
      </c>
      <c r="D159" t="s">
        <v>3968</v>
      </c>
      <c r="E159" t="s">
        <v>3969</v>
      </c>
      <c r="F159" t="s">
        <v>3562</v>
      </c>
      <c r="G159" t="s">
        <v>3970</v>
      </c>
    </row>
    <row r="160" customHeight="1" spans="1:7">
      <c r="A160" t="s">
        <v>16</v>
      </c>
      <c r="B160" t="s">
        <v>3931</v>
      </c>
      <c r="C160" t="s">
        <v>3932</v>
      </c>
      <c r="D160" t="s">
        <v>3971</v>
      </c>
      <c r="E160" t="s">
        <v>3972</v>
      </c>
      <c r="F160" t="s">
        <v>3562</v>
      </c>
      <c r="G160" t="s">
        <v>3973</v>
      </c>
    </row>
    <row r="161" customHeight="1" spans="1:7">
      <c r="A161" t="s">
        <v>16</v>
      </c>
      <c r="B161" t="s">
        <v>3931</v>
      </c>
      <c r="C161" t="s">
        <v>3932</v>
      </c>
      <c r="D161" t="s">
        <v>3974</v>
      </c>
      <c r="E161" t="s">
        <v>3975</v>
      </c>
      <c r="F161" t="s">
        <v>3562</v>
      </c>
      <c r="G161" t="s">
        <v>3976</v>
      </c>
    </row>
    <row r="162" customHeight="1" spans="1:7">
      <c r="A162" t="s">
        <v>16</v>
      </c>
      <c r="B162" t="s">
        <v>3931</v>
      </c>
      <c r="C162" t="s">
        <v>3932</v>
      </c>
      <c r="D162" t="s">
        <v>3977</v>
      </c>
      <c r="E162" t="s">
        <v>3978</v>
      </c>
      <c r="F162" t="s">
        <v>3562</v>
      </c>
      <c r="G162" t="s">
        <v>3979</v>
      </c>
    </row>
    <row r="163" customHeight="1" spans="1:7">
      <c r="A163" t="s">
        <v>16</v>
      </c>
      <c r="B163" t="s">
        <v>3931</v>
      </c>
      <c r="C163" t="s">
        <v>3932</v>
      </c>
      <c r="D163" t="s">
        <v>3980</v>
      </c>
      <c r="E163" t="s">
        <v>3981</v>
      </c>
      <c r="F163" t="s">
        <v>3562</v>
      </c>
      <c r="G163" t="s">
        <v>3982</v>
      </c>
    </row>
    <row r="164" customHeight="1" spans="1:7">
      <c r="A164" t="s">
        <v>16</v>
      </c>
      <c r="B164" t="s">
        <v>3931</v>
      </c>
      <c r="C164" t="s">
        <v>3932</v>
      </c>
      <c r="D164" t="s">
        <v>3983</v>
      </c>
      <c r="E164" t="s">
        <v>3984</v>
      </c>
      <c r="F164" t="s">
        <v>3562</v>
      </c>
      <c r="G164" t="s">
        <v>3985</v>
      </c>
    </row>
    <row r="165" customHeight="1" spans="1:7">
      <c r="A165" t="s">
        <v>16</v>
      </c>
      <c r="B165" t="s">
        <v>3931</v>
      </c>
      <c r="C165" t="s">
        <v>3932</v>
      </c>
      <c r="D165" t="s">
        <v>3986</v>
      </c>
      <c r="E165" t="s">
        <v>3987</v>
      </c>
      <c r="F165" t="s">
        <v>3562</v>
      </c>
      <c r="G165" t="s">
        <v>3988</v>
      </c>
    </row>
    <row r="166" customHeight="1" spans="1:7">
      <c r="A166" t="s">
        <v>16</v>
      </c>
      <c r="B166" t="s">
        <v>3931</v>
      </c>
      <c r="C166" t="s">
        <v>3932</v>
      </c>
      <c r="D166" t="s">
        <v>3989</v>
      </c>
      <c r="E166" t="s">
        <v>3990</v>
      </c>
      <c r="F166" t="s">
        <v>3562</v>
      </c>
      <c r="G166" t="s">
        <v>3991</v>
      </c>
    </row>
    <row r="167" customHeight="1" spans="1:7">
      <c r="A167" t="s">
        <v>16</v>
      </c>
      <c r="B167" t="s">
        <v>3931</v>
      </c>
      <c r="C167" t="s">
        <v>3932</v>
      </c>
      <c r="D167" t="s">
        <v>3992</v>
      </c>
      <c r="E167" t="s">
        <v>3993</v>
      </c>
      <c r="F167" t="s">
        <v>3562</v>
      </c>
      <c r="G167" t="s">
        <v>3994</v>
      </c>
    </row>
    <row r="168" customHeight="1" spans="1:7">
      <c r="A168" t="s">
        <v>16</v>
      </c>
      <c r="B168" t="s">
        <v>3931</v>
      </c>
      <c r="C168" t="s">
        <v>3932</v>
      </c>
      <c r="D168" t="s">
        <v>3995</v>
      </c>
      <c r="E168" t="s">
        <v>3996</v>
      </c>
      <c r="F168" t="s">
        <v>3562</v>
      </c>
      <c r="G168" t="s">
        <v>3997</v>
      </c>
    </row>
    <row r="169" customHeight="1" spans="1:7">
      <c r="A169" t="s">
        <v>16</v>
      </c>
      <c r="B169" t="s">
        <v>3931</v>
      </c>
      <c r="C169" t="s">
        <v>3932</v>
      </c>
      <c r="D169" t="s">
        <v>3998</v>
      </c>
      <c r="E169" t="s">
        <v>3999</v>
      </c>
      <c r="F169" t="s">
        <v>3562</v>
      </c>
      <c r="G169" t="s">
        <v>4000</v>
      </c>
    </row>
    <row r="170" customHeight="1" spans="1:7">
      <c r="A170" t="s">
        <v>16</v>
      </c>
      <c r="B170" t="s">
        <v>3931</v>
      </c>
      <c r="C170" t="s">
        <v>3932</v>
      </c>
      <c r="D170" t="s">
        <v>4001</v>
      </c>
      <c r="E170" t="s">
        <v>4002</v>
      </c>
      <c r="F170" t="s">
        <v>3562</v>
      </c>
      <c r="G170" t="s">
        <v>4003</v>
      </c>
    </row>
    <row r="171" customHeight="1" spans="1:7">
      <c r="A171" t="s">
        <v>16</v>
      </c>
      <c r="B171" t="s">
        <v>3931</v>
      </c>
      <c r="C171" t="s">
        <v>3932</v>
      </c>
      <c r="D171" t="s">
        <v>4004</v>
      </c>
      <c r="E171" t="s">
        <v>4005</v>
      </c>
      <c r="F171" t="s">
        <v>3562</v>
      </c>
      <c r="G171" t="s">
        <v>4006</v>
      </c>
    </row>
    <row r="172" customHeight="1" spans="1:7">
      <c r="A172" t="s">
        <v>16</v>
      </c>
      <c r="B172" t="s">
        <v>3931</v>
      </c>
      <c r="C172" t="s">
        <v>3932</v>
      </c>
      <c r="D172" t="s">
        <v>4007</v>
      </c>
      <c r="E172" t="s">
        <v>4008</v>
      </c>
      <c r="F172" t="s">
        <v>3562</v>
      </c>
      <c r="G172" t="s">
        <v>4009</v>
      </c>
    </row>
    <row r="173" customHeight="1" spans="1:7">
      <c r="A173" t="s">
        <v>16</v>
      </c>
      <c r="B173" t="s">
        <v>3931</v>
      </c>
      <c r="C173" t="s">
        <v>3932</v>
      </c>
      <c r="D173" t="s">
        <v>4010</v>
      </c>
      <c r="E173" t="s">
        <v>4011</v>
      </c>
      <c r="F173" t="s">
        <v>3562</v>
      </c>
      <c r="G173" t="s">
        <v>4012</v>
      </c>
    </row>
    <row r="174" customHeight="1" spans="1:7">
      <c r="A174" t="s">
        <v>16</v>
      </c>
      <c r="B174" t="s">
        <v>3931</v>
      </c>
      <c r="C174" t="s">
        <v>3932</v>
      </c>
      <c r="D174" t="s">
        <v>4013</v>
      </c>
      <c r="E174" t="s">
        <v>4014</v>
      </c>
      <c r="F174" t="s">
        <v>3562</v>
      </c>
      <c r="G174" t="s">
        <v>4015</v>
      </c>
    </row>
    <row r="175" customHeight="1" spans="1:7">
      <c r="A175" t="s">
        <v>16</v>
      </c>
      <c r="B175" t="s">
        <v>3931</v>
      </c>
      <c r="C175" t="s">
        <v>3932</v>
      </c>
      <c r="D175" t="s">
        <v>4016</v>
      </c>
      <c r="E175" t="s">
        <v>4017</v>
      </c>
      <c r="F175" t="s">
        <v>3562</v>
      </c>
      <c r="G175" t="s">
        <v>4018</v>
      </c>
    </row>
    <row r="176" customHeight="1" spans="1:7">
      <c r="A176" t="s">
        <v>16</v>
      </c>
      <c r="B176" t="s">
        <v>3931</v>
      </c>
      <c r="C176" t="s">
        <v>3932</v>
      </c>
      <c r="D176" t="s">
        <v>4019</v>
      </c>
      <c r="E176" t="s">
        <v>4020</v>
      </c>
      <c r="F176" t="s">
        <v>3562</v>
      </c>
      <c r="G176" t="s">
        <v>4021</v>
      </c>
    </row>
    <row r="177" customHeight="1" spans="1:7">
      <c r="A177" t="s">
        <v>16</v>
      </c>
      <c r="B177" t="s">
        <v>3931</v>
      </c>
      <c r="C177" t="s">
        <v>3932</v>
      </c>
      <c r="D177" t="s">
        <v>4022</v>
      </c>
      <c r="E177" t="s">
        <v>4023</v>
      </c>
      <c r="F177" t="s">
        <v>3562</v>
      </c>
      <c r="G177" t="s">
        <v>4024</v>
      </c>
    </row>
    <row r="178" customHeight="1" spans="1:7">
      <c r="A178" t="s">
        <v>16</v>
      </c>
      <c r="B178" t="s">
        <v>3931</v>
      </c>
      <c r="C178" t="s">
        <v>3932</v>
      </c>
      <c r="D178" t="s">
        <v>4025</v>
      </c>
      <c r="E178" t="s">
        <v>4026</v>
      </c>
      <c r="F178" t="s">
        <v>3562</v>
      </c>
      <c r="G178" t="s">
        <v>4027</v>
      </c>
    </row>
    <row r="179" customHeight="1" spans="1:7">
      <c r="A179" t="s">
        <v>16</v>
      </c>
      <c r="B179" t="s">
        <v>3931</v>
      </c>
      <c r="C179" t="s">
        <v>3932</v>
      </c>
      <c r="D179" t="s">
        <v>4028</v>
      </c>
      <c r="E179" t="s">
        <v>4029</v>
      </c>
      <c r="F179" t="s">
        <v>3562</v>
      </c>
      <c r="G179" t="s">
        <v>4030</v>
      </c>
    </row>
    <row r="180" customHeight="1" spans="1:7">
      <c r="A180" t="s">
        <v>16</v>
      </c>
      <c r="B180" t="s">
        <v>3931</v>
      </c>
      <c r="C180" t="s">
        <v>3932</v>
      </c>
      <c r="D180" t="s">
        <v>4031</v>
      </c>
      <c r="E180" t="s">
        <v>4032</v>
      </c>
      <c r="F180" t="s">
        <v>3562</v>
      </c>
      <c r="G180" t="s">
        <v>4033</v>
      </c>
    </row>
    <row r="181" customHeight="1" spans="1:7">
      <c r="A181" t="s">
        <v>16</v>
      </c>
      <c r="B181" t="s">
        <v>3931</v>
      </c>
      <c r="C181" t="s">
        <v>3932</v>
      </c>
      <c r="D181" t="s">
        <v>4034</v>
      </c>
      <c r="E181" t="s">
        <v>4035</v>
      </c>
      <c r="F181" t="s">
        <v>3562</v>
      </c>
      <c r="G181" t="s">
        <v>4036</v>
      </c>
    </row>
    <row r="182" customHeight="1" spans="1:7">
      <c r="A182" t="s">
        <v>16</v>
      </c>
      <c r="B182" t="s">
        <v>3931</v>
      </c>
      <c r="C182" t="s">
        <v>3932</v>
      </c>
      <c r="D182" t="s">
        <v>4037</v>
      </c>
      <c r="E182" t="s">
        <v>4038</v>
      </c>
      <c r="F182" t="s">
        <v>3562</v>
      </c>
      <c r="G182" t="s">
        <v>4039</v>
      </c>
    </row>
    <row r="183" customHeight="1" spans="1:7">
      <c r="A183" t="s">
        <v>16</v>
      </c>
      <c r="B183" t="s">
        <v>3931</v>
      </c>
      <c r="C183" t="s">
        <v>3932</v>
      </c>
      <c r="D183" t="s">
        <v>4040</v>
      </c>
      <c r="E183" t="s">
        <v>4041</v>
      </c>
      <c r="F183" t="s">
        <v>3567</v>
      </c>
      <c r="G183" t="s">
        <v>4042</v>
      </c>
    </row>
    <row r="184" customHeight="1" spans="1:7">
      <c r="A184" t="s">
        <v>16</v>
      </c>
      <c r="B184" t="s">
        <v>4043</v>
      </c>
      <c r="C184" t="s">
        <v>4044</v>
      </c>
      <c r="D184" t="s">
        <v>4045</v>
      </c>
      <c r="E184" t="s">
        <v>4046</v>
      </c>
      <c r="F184" t="s">
        <v>3562</v>
      </c>
      <c r="G184" t="s">
        <v>4047</v>
      </c>
    </row>
    <row r="185" customHeight="1" spans="1:7">
      <c r="A185" t="s">
        <v>16</v>
      </c>
      <c r="B185" t="s">
        <v>4043</v>
      </c>
      <c r="C185" t="s">
        <v>4044</v>
      </c>
      <c r="D185" t="s">
        <v>4043</v>
      </c>
      <c r="E185" t="s">
        <v>4044</v>
      </c>
      <c r="F185" t="s">
        <v>3559</v>
      </c>
      <c r="G185" t="s">
        <v>4048</v>
      </c>
    </row>
    <row r="186" customHeight="1" spans="1:7">
      <c r="A186" t="s">
        <v>16</v>
      </c>
      <c r="B186" t="s">
        <v>4043</v>
      </c>
      <c r="C186" t="s">
        <v>4044</v>
      </c>
      <c r="D186" t="s">
        <v>4049</v>
      </c>
      <c r="E186" t="s">
        <v>4050</v>
      </c>
      <c r="F186" t="s">
        <v>3562</v>
      </c>
      <c r="G186" t="s">
        <v>4051</v>
      </c>
    </row>
    <row r="187" customHeight="1" spans="1:7">
      <c r="A187" t="s">
        <v>16</v>
      </c>
      <c r="B187" t="s">
        <v>4043</v>
      </c>
      <c r="C187" t="s">
        <v>4044</v>
      </c>
      <c r="D187" t="s">
        <v>4052</v>
      </c>
      <c r="E187" t="s">
        <v>4053</v>
      </c>
      <c r="F187" t="s">
        <v>3562</v>
      </c>
      <c r="G187" t="s">
        <v>4054</v>
      </c>
    </row>
    <row r="188" customHeight="1" spans="1:7">
      <c r="A188" t="s">
        <v>16</v>
      </c>
      <c r="B188" t="s">
        <v>4043</v>
      </c>
      <c r="C188" t="s">
        <v>4044</v>
      </c>
      <c r="D188" t="s">
        <v>4055</v>
      </c>
      <c r="E188" t="s">
        <v>4056</v>
      </c>
      <c r="F188" t="s">
        <v>3562</v>
      </c>
      <c r="G188" t="s">
        <v>4057</v>
      </c>
    </row>
    <row r="189" customHeight="1" spans="1:7">
      <c r="A189" t="s">
        <v>16</v>
      </c>
      <c r="B189" t="s">
        <v>4043</v>
      </c>
      <c r="C189" t="s">
        <v>4044</v>
      </c>
      <c r="D189" t="s">
        <v>4058</v>
      </c>
      <c r="E189" t="s">
        <v>4059</v>
      </c>
      <c r="F189" t="s">
        <v>3562</v>
      </c>
      <c r="G189" t="s">
        <v>4060</v>
      </c>
    </row>
    <row r="190" customHeight="1" spans="1:7">
      <c r="A190" t="s">
        <v>16</v>
      </c>
      <c r="B190" t="s">
        <v>4043</v>
      </c>
      <c r="C190" t="s">
        <v>4044</v>
      </c>
      <c r="D190" t="s">
        <v>4061</v>
      </c>
      <c r="E190" t="s">
        <v>4062</v>
      </c>
      <c r="F190" t="s">
        <v>3562</v>
      </c>
      <c r="G190" t="s">
        <v>4063</v>
      </c>
    </row>
    <row r="191" customHeight="1" spans="1:7">
      <c r="A191" t="s">
        <v>16</v>
      </c>
      <c r="B191" t="s">
        <v>4043</v>
      </c>
      <c r="C191" t="s">
        <v>4044</v>
      </c>
      <c r="D191" t="s">
        <v>4064</v>
      </c>
      <c r="E191" t="s">
        <v>4065</v>
      </c>
      <c r="F191" t="s">
        <v>3562</v>
      </c>
      <c r="G191" t="s">
        <v>4066</v>
      </c>
    </row>
    <row r="192" customHeight="1" spans="1:7">
      <c r="A192" t="s">
        <v>16</v>
      </c>
      <c r="B192" t="s">
        <v>4043</v>
      </c>
      <c r="C192" t="s">
        <v>4044</v>
      </c>
      <c r="D192" t="s">
        <v>4067</v>
      </c>
      <c r="E192" t="s">
        <v>4068</v>
      </c>
      <c r="F192" t="s">
        <v>3562</v>
      </c>
      <c r="G192" t="s">
        <v>4069</v>
      </c>
    </row>
    <row r="193" customHeight="1" spans="1:7">
      <c r="A193" t="s">
        <v>16</v>
      </c>
      <c r="B193" t="s">
        <v>4043</v>
      </c>
      <c r="C193" t="s">
        <v>4044</v>
      </c>
      <c r="D193" t="s">
        <v>4070</v>
      </c>
      <c r="E193" t="s">
        <v>4071</v>
      </c>
      <c r="F193" t="s">
        <v>3562</v>
      </c>
      <c r="G193" t="s">
        <v>4072</v>
      </c>
    </row>
    <row r="194" customHeight="1" spans="1:7">
      <c r="A194" t="s">
        <v>16</v>
      </c>
      <c r="B194" t="s">
        <v>4043</v>
      </c>
      <c r="C194" t="s">
        <v>4044</v>
      </c>
      <c r="D194" t="s">
        <v>4073</v>
      </c>
      <c r="E194" t="s">
        <v>4074</v>
      </c>
      <c r="F194" t="s">
        <v>3562</v>
      </c>
      <c r="G194" t="s">
        <v>4075</v>
      </c>
    </row>
    <row r="195" customHeight="1" spans="1:7">
      <c r="A195" t="s">
        <v>16</v>
      </c>
      <c r="B195" t="s">
        <v>4043</v>
      </c>
      <c r="C195" t="s">
        <v>4044</v>
      </c>
      <c r="D195" t="s">
        <v>4076</v>
      </c>
      <c r="E195" t="s">
        <v>4077</v>
      </c>
      <c r="F195" t="s">
        <v>3562</v>
      </c>
      <c r="G195" t="s">
        <v>4078</v>
      </c>
    </row>
    <row r="196" customHeight="1" spans="1:7">
      <c r="A196" t="s">
        <v>16</v>
      </c>
      <c r="B196" t="s">
        <v>4043</v>
      </c>
      <c r="C196" t="s">
        <v>4044</v>
      </c>
      <c r="D196" t="s">
        <v>4079</v>
      </c>
      <c r="E196" t="s">
        <v>4080</v>
      </c>
      <c r="F196" t="s">
        <v>3562</v>
      </c>
      <c r="G196" t="s">
        <v>4081</v>
      </c>
    </row>
    <row r="197" customHeight="1" spans="1:7">
      <c r="A197" t="s">
        <v>16</v>
      </c>
      <c r="B197" t="s">
        <v>4043</v>
      </c>
      <c r="C197" t="s">
        <v>4044</v>
      </c>
      <c r="D197" t="s">
        <v>4082</v>
      </c>
      <c r="E197" t="s">
        <v>4083</v>
      </c>
      <c r="F197" t="s">
        <v>3562</v>
      </c>
      <c r="G197" t="s">
        <v>4084</v>
      </c>
    </row>
    <row r="198" customHeight="1" spans="1:7">
      <c r="A198" t="s">
        <v>16</v>
      </c>
      <c r="B198" t="s">
        <v>4043</v>
      </c>
      <c r="C198" t="s">
        <v>4044</v>
      </c>
      <c r="D198" t="s">
        <v>4085</v>
      </c>
      <c r="E198" t="s">
        <v>4086</v>
      </c>
      <c r="F198" t="s">
        <v>3562</v>
      </c>
      <c r="G198" t="s">
        <v>4087</v>
      </c>
    </row>
    <row r="199" customHeight="1" spans="1:7">
      <c r="A199" t="s">
        <v>16</v>
      </c>
      <c r="B199" t="s">
        <v>4043</v>
      </c>
      <c r="C199" t="s">
        <v>4044</v>
      </c>
      <c r="D199" t="s">
        <v>4088</v>
      </c>
      <c r="E199" t="s">
        <v>4089</v>
      </c>
      <c r="F199" t="s">
        <v>3562</v>
      </c>
      <c r="G199" t="s">
        <v>4090</v>
      </c>
    </row>
    <row r="200" customHeight="1" spans="1:7">
      <c r="A200" t="s">
        <v>16</v>
      </c>
      <c r="B200" t="s">
        <v>4043</v>
      </c>
      <c r="C200" t="s">
        <v>4044</v>
      </c>
      <c r="D200" t="s">
        <v>4091</v>
      </c>
      <c r="E200" t="s">
        <v>4092</v>
      </c>
      <c r="F200" t="s">
        <v>3562</v>
      </c>
      <c r="G200" t="s">
        <v>4093</v>
      </c>
    </row>
    <row r="201" customHeight="1" spans="1:7">
      <c r="A201" t="s">
        <v>16</v>
      </c>
      <c r="B201" t="s">
        <v>4043</v>
      </c>
      <c r="C201" t="s">
        <v>4044</v>
      </c>
      <c r="D201" t="s">
        <v>4094</v>
      </c>
      <c r="E201" t="s">
        <v>4095</v>
      </c>
      <c r="F201" t="s">
        <v>3562</v>
      </c>
      <c r="G201" t="s">
        <v>4096</v>
      </c>
    </row>
    <row r="202" customHeight="1" spans="1:7">
      <c r="A202" t="s">
        <v>16</v>
      </c>
      <c r="B202" t="s">
        <v>4043</v>
      </c>
      <c r="C202" t="s">
        <v>4044</v>
      </c>
      <c r="D202" t="s">
        <v>4097</v>
      </c>
      <c r="E202" t="s">
        <v>4098</v>
      </c>
      <c r="F202" t="s">
        <v>3562</v>
      </c>
      <c r="G202" t="s">
        <v>4099</v>
      </c>
    </row>
    <row r="203" customHeight="1" spans="1:7">
      <c r="A203" t="s">
        <v>16</v>
      </c>
      <c r="B203" t="s">
        <v>4043</v>
      </c>
      <c r="C203" t="s">
        <v>4044</v>
      </c>
      <c r="D203" t="s">
        <v>4100</v>
      </c>
      <c r="E203" t="s">
        <v>4101</v>
      </c>
      <c r="F203" t="s">
        <v>3562</v>
      </c>
      <c r="G203" t="s">
        <v>4102</v>
      </c>
    </row>
    <row r="204" customHeight="1" spans="1:7">
      <c r="A204" t="s">
        <v>16</v>
      </c>
      <c r="B204" t="s">
        <v>4043</v>
      </c>
      <c r="C204" t="s">
        <v>4044</v>
      </c>
      <c r="D204" t="s">
        <v>4103</v>
      </c>
      <c r="E204" t="s">
        <v>4104</v>
      </c>
      <c r="F204" t="s">
        <v>3562</v>
      </c>
      <c r="G204" t="s">
        <v>4105</v>
      </c>
    </row>
    <row r="205" customHeight="1" spans="1:7">
      <c r="A205" t="s">
        <v>16</v>
      </c>
      <c r="B205" t="s">
        <v>4043</v>
      </c>
      <c r="C205" t="s">
        <v>4044</v>
      </c>
      <c r="D205" t="s">
        <v>4106</v>
      </c>
      <c r="E205" t="s">
        <v>4107</v>
      </c>
      <c r="F205" t="s">
        <v>3562</v>
      </c>
      <c r="G205" t="s">
        <v>4108</v>
      </c>
    </row>
    <row r="206" customHeight="1" spans="1:7">
      <c r="A206" t="s">
        <v>16</v>
      </c>
      <c r="B206" t="s">
        <v>4043</v>
      </c>
      <c r="C206" t="s">
        <v>4044</v>
      </c>
      <c r="D206" t="s">
        <v>4109</v>
      </c>
      <c r="E206" t="s">
        <v>4110</v>
      </c>
      <c r="F206" t="s">
        <v>3664</v>
      </c>
      <c r="G206" t="s">
        <v>4111</v>
      </c>
    </row>
    <row r="207" customHeight="1" spans="1:7">
      <c r="A207" t="s">
        <v>16</v>
      </c>
      <c r="B207" t="s">
        <v>4112</v>
      </c>
      <c r="C207" t="s">
        <v>4113</v>
      </c>
      <c r="D207" t="s">
        <v>4114</v>
      </c>
      <c r="E207" t="s">
        <v>4115</v>
      </c>
      <c r="F207" t="s">
        <v>3562</v>
      </c>
      <c r="G207" t="s">
        <v>4116</v>
      </c>
    </row>
    <row r="208" customHeight="1" spans="1:7">
      <c r="A208" t="s">
        <v>16</v>
      </c>
      <c r="B208" t="s">
        <v>4112</v>
      </c>
      <c r="C208" t="s">
        <v>4113</v>
      </c>
      <c r="D208" t="s">
        <v>4112</v>
      </c>
      <c r="E208" t="s">
        <v>4113</v>
      </c>
      <c r="F208" t="s">
        <v>3559</v>
      </c>
      <c r="G208" t="s">
        <v>4117</v>
      </c>
    </row>
    <row r="209" customHeight="1" spans="1:7">
      <c r="A209" t="s">
        <v>16</v>
      </c>
      <c r="B209" t="s">
        <v>4112</v>
      </c>
      <c r="C209" t="s">
        <v>4113</v>
      </c>
      <c r="D209" t="s">
        <v>4118</v>
      </c>
      <c r="E209" t="s">
        <v>4119</v>
      </c>
      <c r="F209" t="s">
        <v>3664</v>
      </c>
      <c r="G209" t="s">
        <v>4120</v>
      </c>
    </row>
    <row r="210" customHeight="1" spans="1:7">
      <c r="A210" t="s">
        <v>16</v>
      </c>
      <c r="B210" t="s">
        <v>4112</v>
      </c>
      <c r="C210" t="s">
        <v>4113</v>
      </c>
      <c r="D210" t="s">
        <v>4121</v>
      </c>
      <c r="E210" t="s">
        <v>4122</v>
      </c>
      <c r="F210" t="s">
        <v>3562</v>
      </c>
      <c r="G210" t="s">
        <v>4123</v>
      </c>
    </row>
    <row r="211" customHeight="1" spans="1:7">
      <c r="A211" t="s">
        <v>16</v>
      </c>
      <c r="B211" t="s">
        <v>4112</v>
      </c>
      <c r="C211" t="s">
        <v>4113</v>
      </c>
      <c r="D211" t="s">
        <v>4124</v>
      </c>
      <c r="E211" t="s">
        <v>4125</v>
      </c>
      <c r="F211" t="s">
        <v>3562</v>
      </c>
      <c r="G211" t="s">
        <v>4126</v>
      </c>
    </row>
    <row r="212" customHeight="1" spans="1:7">
      <c r="A212" t="s">
        <v>16</v>
      </c>
      <c r="B212" t="s">
        <v>4112</v>
      </c>
      <c r="C212" t="s">
        <v>4113</v>
      </c>
      <c r="D212" t="s">
        <v>4127</v>
      </c>
      <c r="E212" t="s">
        <v>4128</v>
      </c>
      <c r="F212" t="s">
        <v>3562</v>
      </c>
      <c r="G212" t="s">
        <v>4129</v>
      </c>
    </row>
    <row r="213" customHeight="1" spans="1:7">
      <c r="A213" t="s">
        <v>16</v>
      </c>
      <c r="B213" t="s">
        <v>4112</v>
      </c>
      <c r="C213" t="s">
        <v>4113</v>
      </c>
      <c r="D213" t="s">
        <v>4130</v>
      </c>
      <c r="E213" t="s">
        <v>4131</v>
      </c>
      <c r="F213" t="s">
        <v>3562</v>
      </c>
      <c r="G213" t="s">
        <v>4132</v>
      </c>
    </row>
    <row r="214" customHeight="1" spans="1:7">
      <c r="A214" t="s">
        <v>16</v>
      </c>
      <c r="B214" t="s">
        <v>4112</v>
      </c>
      <c r="C214" t="s">
        <v>4113</v>
      </c>
      <c r="D214" t="s">
        <v>4133</v>
      </c>
      <c r="E214" t="s">
        <v>4134</v>
      </c>
      <c r="F214" t="s">
        <v>3562</v>
      </c>
      <c r="G214" t="s">
        <v>4135</v>
      </c>
    </row>
    <row r="215" customHeight="1" spans="1:7">
      <c r="A215" t="s">
        <v>16</v>
      </c>
      <c r="B215" t="s">
        <v>4112</v>
      </c>
      <c r="C215" t="s">
        <v>4113</v>
      </c>
      <c r="D215" t="s">
        <v>4136</v>
      </c>
      <c r="E215" t="s">
        <v>4137</v>
      </c>
      <c r="F215" t="s">
        <v>3562</v>
      </c>
      <c r="G215" t="s">
        <v>4138</v>
      </c>
    </row>
    <row r="216" customHeight="1" spans="1:7">
      <c r="A216" t="s">
        <v>16</v>
      </c>
      <c r="B216" t="s">
        <v>4112</v>
      </c>
      <c r="C216" t="s">
        <v>4113</v>
      </c>
      <c r="D216" t="s">
        <v>4139</v>
      </c>
      <c r="E216" t="s">
        <v>4140</v>
      </c>
      <c r="F216" t="s">
        <v>3562</v>
      </c>
      <c r="G216" t="s">
        <v>4141</v>
      </c>
    </row>
    <row r="217" customHeight="1" spans="1:7">
      <c r="A217" t="s">
        <v>16</v>
      </c>
      <c r="B217" t="s">
        <v>4112</v>
      </c>
      <c r="C217" t="s">
        <v>4113</v>
      </c>
      <c r="D217" t="s">
        <v>4142</v>
      </c>
      <c r="E217" t="s">
        <v>4143</v>
      </c>
      <c r="F217" t="s">
        <v>3562</v>
      </c>
      <c r="G217" t="s">
        <v>4144</v>
      </c>
    </row>
    <row r="218" customHeight="1" spans="1:7">
      <c r="A218" t="s">
        <v>16</v>
      </c>
      <c r="B218" t="s">
        <v>4112</v>
      </c>
      <c r="C218" t="s">
        <v>4113</v>
      </c>
      <c r="D218" t="s">
        <v>4145</v>
      </c>
      <c r="E218" t="s">
        <v>4146</v>
      </c>
      <c r="F218" t="s">
        <v>3562</v>
      </c>
      <c r="G218" t="s">
        <v>4147</v>
      </c>
    </row>
    <row r="219" customHeight="1" spans="1:7">
      <c r="A219" t="s">
        <v>16</v>
      </c>
      <c r="B219" t="s">
        <v>4112</v>
      </c>
      <c r="C219" t="s">
        <v>4113</v>
      </c>
      <c r="D219" t="s">
        <v>4148</v>
      </c>
      <c r="E219" t="s">
        <v>4149</v>
      </c>
      <c r="F219" t="s">
        <v>3562</v>
      </c>
      <c r="G219" t="s">
        <v>4150</v>
      </c>
    </row>
    <row r="220" customHeight="1" spans="1:7">
      <c r="A220" t="s">
        <v>16</v>
      </c>
      <c r="B220" t="s">
        <v>4112</v>
      </c>
      <c r="C220" t="s">
        <v>4113</v>
      </c>
      <c r="D220" t="s">
        <v>4151</v>
      </c>
      <c r="E220" t="s">
        <v>4152</v>
      </c>
      <c r="F220" t="s">
        <v>3562</v>
      </c>
      <c r="G220" t="s">
        <v>4153</v>
      </c>
    </row>
    <row r="221" customHeight="1" spans="1:7">
      <c r="A221" t="s">
        <v>16</v>
      </c>
      <c r="B221" t="s">
        <v>4112</v>
      </c>
      <c r="C221" t="s">
        <v>4113</v>
      </c>
      <c r="D221" t="s">
        <v>4154</v>
      </c>
      <c r="E221" t="s">
        <v>4155</v>
      </c>
      <c r="F221" t="s">
        <v>3562</v>
      </c>
      <c r="G221" t="s">
        <v>4156</v>
      </c>
    </row>
    <row r="222" customHeight="1" spans="1:7">
      <c r="A222" t="s">
        <v>16</v>
      </c>
      <c r="B222" t="s">
        <v>4112</v>
      </c>
      <c r="C222" t="s">
        <v>4113</v>
      </c>
      <c r="D222" t="s">
        <v>4157</v>
      </c>
      <c r="E222" t="s">
        <v>4158</v>
      </c>
      <c r="F222" t="s">
        <v>3562</v>
      </c>
      <c r="G222" t="s">
        <v>4159</v>
      </c>
    </row>
    <row r="223" customHeight="1" spans="1:7">
      <c r="A223" t="s">
        <v>16</v>
      </c>
      <c r="B223" t="s">
        <v>4112</v>
      </c>
      <c r="C223" t="s">
        <v>4113</v>
      </c>
      <c r="D223" t="s">
        <v>4160</v>
      </c>
      <c r="E223" t="s">
        <v>4161</v>
      </c>
      <c r="F223" t="s">
        <v>3562</v>
      </c>
      <c r="G223" t="s">
        <v>4162</v>
      </c>
    </row>
    <row r="224" customHeight="1" spans="1:7">
      <c r="A224" t="s">
        <v>16</v>
      </c>
      <c r="B224" t="s">
        <v>4112</v>
      </c>
      <c r="C224" t="s">
        <v>4113</v>
      </c>
      <c r="D224" t="s">
        <v>4163</v>
      </c>
      <c r="E224" t="s">
        <v>4164</v>
      </c>
      <c r="F224" t="s">
        <v>3562</v>
      </c>
      <c r="G224" t="s">
        <v>4165</v>
      </c>
    </row>
    <row r="225" customHeight="1" spans="1:7">
      <c r="A225" t="s">
        <v>16</v>
      </c>
      <c r="B225" t="s">
        <v>4166</v>
      </c>
      <c r="C225" t="s">
        <v>4167</v>
      </c>
      <c r="D225" t="s">
        <v>4166</v>
      </c>
      <c r="E225" t="s">
        <v>4167</v>
      </c>
      <c r="F225" t="s">
        <v>3559</v>
      </c>
      <c r="G225" t="s">
        <v>4168</v>
      </c>
    </row>
    <row r="226" customHeight="1" spans="1:7">
      <c r="A226" t="s">
        <v>16</v>
      </c>
      <c r="B226" t="s">
        <v>4166</v>
      </c>
      <c r="C226" t="s">
        <v>4167</v>
      </c>
      <c r="D226" t="s">
        <v>4169</v>
      </c>
      <c r="E226" t="s">
        <v>4170</v>
      </c>
      <c r="F226" t="s">
        <v>3562</v>
      </c>
      <c r="G226" t="s">
        <v>4171</v>
      </c>
    </row>
    <row r="227" customHeight="1" spans="1:7">
      <c r="A227" t="s">
        <v>16</v>
      </c>
      <c r="B227" t="s">
        <v>4166</v>
      </c>
      <c r="C227" t="s">
        <v>4167</v>
      </c>
      <c r="D227" t="s">
        <v>4172</v>
      </c>
      <c r="E227" t="s">
        <v>4173</v>
      </c>
      <c r="F227" t="s">
        <v>3562</v>
      </c>
      <c r="G227" t="s">
        <v>4174</v>
      </c>
    </row>
    <row r="228" customHeight="1" spans="1:7">
      <c r="A228" t="s">
        <v>16</v>
      </c>
      <c r="B228" t="s">
        <v>4166</v>
      </c>
      <c r="C228" t="s">
        <v>4167</v>
      </c>
      <c r="D228" t="s">
        <v>4175</v>
      </c>
      <c r="E228" t="s">
        <v>4176</v>
      </c>
      <c r="F228" t="s">
        <v>3562</v>
      </c>
      <c r="G228" t="s">
        <v>4177</v>
      </c>
    </row>
    <row r="229" customHeight="1" spans="1:7">
      <c r="A229" t="s">
        <v>16</v>
      </c>
      <c r="B229" t="s">
        <v>4166</v>
      </c>
      <c r="C229" t="s">
        <v>4167</v>
      </c>
      <c r="D229" t="s">
        <v>4178</v>
      </c>
      <c r="E229" t="s">
        <v>4179</v>
      </c>
      <c r="F229" t="s">
        <v>3562</v>
      </c>
      <c r="G229" t="s">
        <v>4180</v>
      </c>
    </row>
    <row r="230" customHeight="1" spans="1:7">
      <c r="A230" t="s">
        <v>16</v>
      </c>
      <c r="B230" t="s">
        <v>4166</v>
      </c>
      <c r="C230" t="s">
        <v>4167</v>
      </c>
      <c r="D230" t="s">
        <v>4181</v>
      </c>
      <c r="E230" t="s">
        <v>4182</v>
      </c>
      <c r="F230" t="s">
        <v>3562</v>
      </c>
      <c r="G230" t="s">
        <v>4183</v>
      </c>
    </row>
    <row r="231" customHeight="1" spans="1:7">
      <c r="A231" t="s">
        <v>16</v>
      </c>
      <c r="B231" t="s">
        <v>4166</v>
      </c>
      <c r="C231" t="s">
        <v>4167</v>
      </c>
      <c r="D231" t="s">
        <v>4184</v>
      </c>
      <c r="E231" t="s">
        <v>4185</v>
      </c>
      <c r="F231" t="s">
        <v>3562</v>
      </c>
      <c r="G231" t="s">
        <v>4186</v>
      </c>
    </row>
    <row r="232" customHeight="1" spans="1:7">
      <c r="A232" t="s">
        <v>16</v>
      </c>
      <c r="B232" t="s">
        <v>4166</v>
      </c>
      <c r="C232" t="s">
        <v>4167</v>
      </c>
      <c r="D232" t="s">
        <v>4187</v>
      </c>
      <c r="E232" t="s">
        <v>4188</v>
      </c>
      <c r="F232" t="s">
        <v>3562</v>
      </c>
      <c r="G232" t="s">
        <v>4189</v>
      </c>
    </row>
    <row r="233" customHeight="1" spans="1:7">
      <c r="A233" t="s">
        <v>16</v>
      </c>
      <c r="B233" t="s">
        <v>4166</v>
      </c>
      <c r="C233" t="s">
        <v>4167</v>
      </c>
      <c r="D233" t="s">
        <v>4190</v>
      </c>
      <c r="E233" t="s">
        <v>4191</v>
      </c>
      <c r="F233" t="s">
        <v>3562</v>
      </c>
      <c r="G233" t="s">
        <v>4192</v>
      </c>
    </row>
    <row r="234" customHeight="1" spans="1:7">
      <c r="A234" t="s">
        <v>16</v>
      </c>
      <c r="B234" t="s">
        <v>4166</v>
      </c>
      <c r="C234" t="s">
        <v>4167</v>
      </c>
      <c r="D234" t="s">
        <v>4193</v>
      </c>
      <c r="E234" t="s">
        <v>4194</v>
      </c>
      <c r="F234" t="s">
        <v>3562</v>
      </c>
      <c r="G234" t="s">
        <v>4195</v>
      </c>
    </row>
    <row r="235" customHeight="1" spans="1:7">
      <c r="A235" t="s">
        <v>16</v>
      </c>
      <c r="B235" t="s">
        <v>4166</v>
      </c>
      <c r="C235" t="s">
        <v>4167</v>
      </c>
      <c r="D235" t="s">
        <v>4196</v>
      </c>
      <c r="E235" t="s">
        <v>4197</v>
      </c>
      <c r="F235" t="s">
        <v>3562</v>
      </c>
      <c r="G235" t="s">
        <v>4198</v>
      </c>
    </row>
    <row r="236" customHeight="1" spans="1:7">
      <c r="A236" t="s">
        <v>16</v>
      </c>
      <c r="B236" t="s">
        <v>4166</v>
      </c>
      <c r="C236" t="s">
        <v>4167</v>
      </c>
      <c r="D236" t="s">
        <v>4199</v>
      </c>
      <c r="E236" t="s">
        <v>4200</v>
      </c>
      <c r="F236" t="s">
        <v>3562</v>
      </c>
      <c r="G236" t="s">
        <v>4201</v>
      </c>
    </row>
    <row r="237" customHeight="1" spans="1:7">
      <c r="A237" t="s">
        <v>16</v>
      </c>
      <c r="B237" t="s">
        <v>4166</v>
      </c>
      <c r="C237" t="s">
        <v>4167</v>
      </c>
      <c r="D237" t="s">
        <v>4202</v>
      </c>
      <c r="E237" t="s">
        <v>4203</v>
      </c>
      <c r="F237" t="s">
        <v>3562</v>
      </c>
      <c r="G237" t="s">
        <v>4204</v>
      </c>
    </row>
    <row r="238" customHeight="1" spans="1:7">
      <c r="A238" t="s">
        <v>16</v>
      </c>
      <c r="B238" t="s">
        <v>4205</v>
      </c>
      <c r="C238" t="s">
        <v>4206</v>
      </c>
      <c r="D238" t="s">
        <v>4207</v>
      </c>
      <c r="E238" t="s">
        <v>4208</v>
      </c>
      <c r="F238" t="s">
        <v>3562</v>
      </c>
      <c r="G238" t="s">
        <v>4209</v>
      </c>
    </row>
    <row r="239" customHeight="1" spans="1:7">
      <c r="A239" t="s">
        <v>16</v>
      </c>
      <c r="B239" t="s">
        <v>4205</v>
      </c>
      <c r="C239" t="s">
        <v>4206</v>
      </c>
      <c r="D239" t="s">
        <v>4205</v>
      </c>
      <c r="E239" t="s">
        <v>4206</v>
      </c>
      <c r="F239" t="s">
        <v>3559</v>
      </c>
      <c r="G239" t="s">
        <v>4210</v>
      </c>
    </row>
    <row r="240" customHeight="1" spans="1:7">
      <c r="A240" t="s">
        <v>16</v>
      </c>
      <c r="B240" t="s">
        <v>4205</v>
      </c>
      <c r="C240" t="s">
        <v>4206</v>
      </c>
      <c r="D240" t="s">
        <v>4211</v>
      </c>
      <c r="E240" t="s">
        <v>4212</v>
      </c>
      <c r="F240" t="s">
        <v>3567</v>
      </c>
      <c r="G240" t="s">
        <v>4213</v>
      </c>
    </row>
    <row r="241" customHeight="1" spans="1:7">
      <c r="A241" t="s">
        <v>16</v>
      </c>
      <c r="B241" t="s">
        <v>4205</v>
      </c>
      <c r="C241" t="s">
        <v>4206</v>
      </c>
      <c r="D241" t="s">
        <v>4214</v>
      </c>
      <c r="E241" t="s">
        <v>4215</v>
      </c>
      <c r="F241" t="s">
        <v>3562</v>
      </c>
      <c r="G241" t="s">
        <v>4216</v>
      </c>
    </row>
    <row r="242" customHeight="1" spans="1:7">
      <c r="A242" t="s">
        <v>16</v>
      </c>
      <c r="B242" t="s">
        <v>4205</v>
      </c>
      <c r="C242" t="s">
        <v>4206</v>
      </c>
      <c r="D242" t="s">
        <v>4217</v>
      </c>
      <c r="E242" t="s">
        <v>4218</v>
      </c>
      <c r="F242" t="s">
        <v>3562</v>
      </c>
      <c r="G242" t="s">
        <v>4219</v>
      </c>
    </row>
    <row r="243" customHeight="1" spans="1:7">
      <c r="A243" t="s">
        <v>16</v>
      </c>
      <c r="B243" t="s">
        <v>4205</v>
      </c>
      <c r="C243" t="s">
        <v>4206</v>
      </c>
      <c r="D243" t="s">
        <v>4220</v>
      </c>
      <c r="E243" t="s">
        <v>4221</v>
      </c>
      <c r="F243" t="s">
        <v>3562</v>
      </c>
      <c r="G243" t="s">
        <v>4222</v>
      </c>
    </row>
    <row r="244" customHeight="1" spans="1:7">
      <c r="A244" t="s">
        <v>16</v>
      </c>
      <c r="B244" t="s">
        <v>4205</v>
      </c>
      <c r="C244" t="s">
        <v>4206</v>
      </c>
      <c r="D244" t="s">
        <v>4223</v>
      </c>
      <c r="E244" t="s">
        <v>4224</v>
      </c>
      <c r="F244" t="s">
        <v>3562</v>
      </c>
      <c r="G244" t="s">
        <v>4225</v>
      </c>
    </row>
    <row r="245" customHeight="1" spans="1:7">
      <c r="A245" t="s">
        <v>16</v>
      </c>
      <c r="B245" t="s">
        <v>4205</v>
      </c>
      <c r="C245" t="s">
        <v>4206</v>
      </c>
      <c r="D245" t="s">
        <v>4226</v>
      </c>
      <c r="E245" t="s">
        <v>4227</v>
      </c>
      <c r="F245" t="s">
        <v>3562</v>
      </c>
      <c r="G245" t="s">
        <v>4228</v>
      </c>
    </row>
    <row r="246" customHeight="1" spans="1:7">
      <c r="A246" t="s">
        <v>16</v>
      </c>
      <c r="B246" t="s">
        <v>4205</v>
      </c>
      <c r="C246" t="s">
        <v>4206</v>
      </c>
      <c r="D246" t="s">
        <v>4229</v>
      </c>
      <c r="E246" t="s">
        <v>4230</v>
      </c>
      <c r="F246" t="s">
        <v>3562</v>
      </c>
      <c r="G246" t="s">
        <v>4231</v>
      </c>
    </row>
    <row r="247" customHeight="1" spans="1:7">
      <c r="A247" t="s">
        <v>16</v>
      </c>
      <c r="B247" t="s">
        <v>4205</v>
      </c>
      <c r="C247" t="s">
        <v>4206</v>
      </c>
      <c r="D247" t="s">
        <v>4232</v>
      </c>
      <c r="E247" t="s">
        <v>4233</v>
      </c>
      <c r="F247" t="s">
        <v>3562</v>
      </c>
      <c r="G247" t="s">
        <v>4234</v>
      </c>
    </row>
    <row r="248" customHeight="1" spans="1:7">
      <c r="A248" t="s">
        <v>16</v>
      </c>
      <c r="B248" t="s">
        <v>4205</v>
      </c>
      <c r="C248" t="s">
        <v>4206</v>
      </c>
      <c r="D248" t="s">
        <v>4235</v>
      </c>
      <c r="E248" t="s">
        <v>4236</v>
      </c>
      <c r="F248" t="s">
        <v>3562</v>
      </c>
      <c r="G248" t="s">
        <v>4237</v>
      </c>
    </row>
    <row r="249" customHeight="1" spans="1:7">
      <c r="A249" t="s">
        <v>16</v>
      </c>
      <c r="B249" t="s">
        <v>4205</v>
      </c>
      <c r="C249" t="s">
        <v>4206</v>
      </c>
      <c r="D249" t="s">
        <v>4238</v>
      </c>
      <c r="E249" t="s">
        <v>4239</v>
      </c>
      <c r="F249" t="s">
        <v>3562</v>
      </c>
      <c r="G249" t="s">
        <v>4240</v>
      </c>
    </row>
    <row r="250" customHeight="1" spans="1:7">
      <c r="A250" t="s">
        <v>16</v>
      </c>
      <c r="B250" t="s">
        <v>4205</v>
      </c>
      <c r="C250" t="s">
        <v>4206</v>
      </c>
      <c r="D250" t="s">
        <v>4241</v>
      </c>
      <c r="E250" t="s">
        <v>4242</v>
      </c>
      <c r="F250" t="s">
        <v>3562</v>
      </c>
      <c r="G250" t="s">
        <v>4243</v>
      </c>
    </row>
    <row r="251" customHeight="1" spans="1:7">
      <c r="A251" t="s">
        <v>16</v>
      </c>
      <c r="B251" t="s">
        <v>4205</v>
      </c>
      <c r="C251" t="s">
        <v>4206</v>
      </c>
      <c r="D251" t="s">
        <v>4244</v>
      </c>
      <c r="E251" t="s">
        <v>4245</v>
      </c>
      <c r="F251" t="s">
        <v>3562</v>
      </c>
      <c r="G251" t="s">
        <v>4246</v>
      </c>
    </row>
    <row r="252" customHeight="1" spans="1:7">
      <c r="A252" t="s">
        <v>16</v>
      </c>
      <c r="B252" t="s">
        <v>4205</v>
      </c>
      <c r="C252" t="s">
        <v>4206</v>
      </c>
      <c r="D252" t="s">
        <v>4247</v>
      </c>
      <c r="E252" t="s">
        <v>4248</v>
      </c>
      <c r="F252" t="s">
        <v>3562</v>
      </c>
      <c r="G252" t="s">
        <v>4249</v>
      </c>
    </row>
    <row r="253" customHeight="1" spans="1:7">
      <c r="A253" t="s">
        <v>16</v>
      </c>
      <c r="B253" t="s">
        <v>4250</v>
      </c>
      <c r="C253" t="s">
        <v>4251</v>
      </c>
      <c r="D253" t="s">
        <v>4250</v>
      </c>
      <c r="E253" t="s">
        <v>4251</v>
      </c>
      <c r="F253" t="s">
        <v>3559</v>
      </c>
      <c r="G253" t="s">
        <v>4252</v>
      </c>
    </row>
    <row r="254" customHeight="1" spans="1:7">
      <c r="A254" t="s">
        <v>16</v>
      </c>
      <c r="B254" t="s">
        <v>4250</v>
      </c>
      <c r="C254" t="s">
        <v>4251</v>
      </c>
      <c r="D254" t="s">
        <v>4253</v>
      </c>
      <c r="E254" t="s">
        <v>4254</v>
      </c>
      <c r="F254" t="s">
        <v>3562</v>
      </c>
      <c r="G254" t="s">
        <v>4255</v>
      </c>
    </row>
    <row r="255" customHeight="1" spans="1:7">
      <c r="A255" t="s">
        <v>16</v>
      </c>
      <c r="B255" t="s">
        <v>4250</v>
      </c>
      <c r="C255" t="s">
        <v>4251</v>
      </c>
      <c r="D255" t="s">
        <v>4256</v>
      </c>
      <c r="E255" t="s">
        <v>4257</v>
      </c>
      <c r="F255" t="s">
        <v>3562</v>
      </c>
      <c r="G255" t="s">
        <v>4258</v>
      </c>
    </row>
    <row r="256" customHeight="1" spans="1:7">
      <c r="A256" t="s">
        <v>16</v>
      </c>
      <c r="B256" t="s">
        <v>4250</v>
      </c>
      <c r="C256" t="s">
        <v>4251</v>
      </c>
      <c r="D256" t="s">
        <v>4259</v>
      </c>
      <c r="E256" t="s">
        <v>4260</v>
      </c>
      <c r="F256" t="s">
        <v>3562</v>
      </c>
      <c r="G256" t="s">
        <v>4261</v>
      </c>
    </row>
    <row r="257" customHeight="1" spans="1:7">
      <c r="A257" t="s">
        <v>16</v>
      </c>
      <c r="B257" t="s">
        <v>4250</v>
      </c>
      <c r="C257" t="s">
        <v>4251</v>
      </c>
      <c r="D257" t="s">
        <v>4262</v>
      </c>
      <c r="E257" t="s">
        <v>4263</v>
      </c>
      <c r="F257" t="s">
        <v>3562</v>
      </c>
      <c r="G257" t="s">
        <v>4264</v>
      </c>
    </row>
    <row r="258" customHeight="1" spans="1:7">
      <c r="A258" t="s">
        <v>16</v>
      </c>
      <c r="B258" t="s">
        <v>4250</v>
      </c>
      <c r="C258" t="s">
        <v>4251</v>
      </c>
      <c r="D258" t="s">
        <v>4265</v>
      </c>
      <c r="E258" t="s">
        <v>4266</v>
      </c>
      <c r="F258" t="s">
        <v>3562</v>
      </c>
      <c r="G258" t="s">
        <v>4267</v>
      </c>
    </row>
    <row r="259" customHeight="1" spans="1:7">
      <c r="A259" t="s">
        <v>16</v>
      </c>
      <c r="B259" t="s">
        <v>4250</v>
      </c>
      <c r="C259" t="s">
        <v>4251</v>
      </c>
      <c r="D259" t="s">
        <v>4268</v>
      </c>
      <c r="E259" t="s">
        <v>4269</v>
      </c>
      <c r="F259" t="s">
        <v>3562</v>
      </c>
      <c r="G259" t="s">
        <v>4270</v>
      </c>
    </row>
    <row r="260" customHeight="1" spans="1:7">
      <c r="A260" t="s">
        <v>16</v>
      </c>
      <c r="B260" t="s">
        <v>4250</v>
      </c>
      <c r="C260" t="s">
        <v>4251</v>
      </c>
      <c r="D260" t="s">
        <v>4271</v>
      </c>
      <c r="E260" t="s">
        <v>4272</v>
      </c>
      <c r="F260" t="s">
        <v>3562</v>
      </c>
      <c r="G260" t="s">
        <v>4273</v>
      </c>
    </row>
    <row r="261" customHeight="1" spans="1:7">
      <c r="A261" t="s">
        <v>16</v>
      </c>
      <c r="B261" t="s">
        <v>4250</v>
      </c>
      <c r="C261" t="s">
        <v>4251</v>
      </c>
      <c r="D261" t="s">
        <v>4274</v>
      </c>
      <c r="E261" t="s">
        <v>4275</v>
      </c>
      <c r="F261" t="s">
        <v>3562</v>
      </c>
      <c r="G261" t="s">
        <v>4276</v>
      </c>
    </row>
    <row r="262" customHeight="1" spans="1:7">
      <c r="A262" t="s">
        <v>16</v>
      </c>
      <c r="B262" t="s">
        <v>4250</v>
      </c>
      <c r="C262" t="s">
        <v>4251</v>
      </c>
      <c r="D262" t="s">
        <v>4277</v>
      </c>
      <c r="E262" t="s">
        <v>4278</v>
      </c>
      <c r="F262" t="s">
        <v>3562</v>
      </c>
      <c r="G262" t="s">
        <v>4279</v>
      </c>
    </row>
    <row r="263" customHeight="1" spans="1:7">
      <c r="A263" t="s">
        <v>16</v>
      </c>
      <c r="B263" t="s">
        <v>4250</v>
      </c>
      <c r="C263" t="s">
        <v>4251</v>
      </c>
      <c r="D263" t="s">
        <v>4280</v>
      </c>
      <c r="E263" t="s">
        <v>4281</v>
      </c>
      <c r="F263" t="s">
        <v>3562</v>
      </c>
      <c r="G263" t="s">
        <v>4282</v>
      </c>
    </row>
    <row r="264" customHeight="1" spans="1:7">
      <c r="A264" t="s">
        <v>16</v>
      </c>
      <c r="B264" t="s">
        <v>4250</v>
      </c>
      <c r="C264" t="s">
        <v>4251</v>
      </c>
      <c r="D264" t="s">
        <v>4283</v>
      </c>
      <c r="E264" t="s">
        <v>4284</v>
      </c>
      <c r="F264" t="s">
        <v>3562</v>
      </c>
      <c r="G264" t="s">
        <v>4285</v>
      </c>
    </row>
    <row r="265" customHeight="1" spans="1:7">
      <c r="A265" t="s">
        <v>16</v>
      </c>
      <c r="B265" t="s">
        <v>4250</v>
      </c>
      <c r="C265" t="s">
        <v>4251</v>
      </c>
      <c r="D265" t="s">
        <v>4286</v>
      </c>
      <c r="E265" t="s">
        <v>4287</v>
      </c>
      <c r="F265" t="s">
        <v>3562</v>
      </c>
      <c r="G265" t="s">
        <v>4288</v>
      </c>
    </row>
    <row r="266" customHeight="1" spans="1:7">
      <c r="A266" t="s">
        <v>16</v>
      </c>
      <c r="B266" t="s">
        <v>4250</v>
      </c>
      <c r="C266" t="s">
        <v>4251</v>
      </c>
      <c r="D266" t="s">
        <v>4289</v>
      </c>
      <c r="E266" t="s">
        <v>4290</v>
      </c>
      <c r="F266" t="s">
        <v>3562</v>
      </c>
      <c r="G266" t="s">
        <v>4291</v>
      </c>
    </row>
    <row r="267" customHeight="1" spans="1:7">
      <c r="A267" t="s">
        <v>16</v>
      </c>
      <c r="B267" t="s">
        <v>4250</v>
      </c>
      <c r="C267" t="s">
        <v>4251</v>
      </c>
      <c r="D267" t="s">
        <v>4292</v>
      </c>
      <c r="E267" t="s">
        <v>4293</v>
      </c>
      <c r="F267" t="s">
        <v>3562</v>
      </c>
      <c r="G267" t="s">
        <v>4294</v>
      </c>
    </row>
    <row r="268" customHeight="1" spans="1:7">
      <c r="A268" t="s">
        <v>16</v>
      </c>
      <c r="B268" t="s">
        <v>4250</v>
      </c>
      <c r="C268" t="s">
        <v>4251</v>
      </c>
      <c r="D268" t="s">
        <v>4295</v>
      </c>
      <c r="E268" t="s">
        <v>4296</v>
      </c>
      <c r="F268" t="s">
        <v>3562</v>
      </c>
      <c r="G268" t="s">
        <v>4297</v>
      </c>
    </row>
    <row r="269" customHeight="1" spans="1:7">
      <c r="A269" t="s">
        <v>16</v>
      </c>
      <c r="B269" t="s">
        <v>4250</v>
      </c>
      <c r="C269" t="s">
        <v>4251</v>
      </c>
      <c r="D269" t="s">
        <v>4298</v>
      </c>
      <c r="E269" t="s">
        <v>4299</v>
      </c>
      <c r="F269" t="s">
        <v>3562</v>
      </c>
      <c r="G269" t="s">
        <v>4300</v>
      </c>
    </row>
    <row r="270" customHeight="1" spans="1:7">
      <c r="A270" t="s">
        <v>16</v>
      </c>
      <c r="B270" t="s">
        <v>4250</v>
      </c>
      <c r="C270" t="s">
        <v>4251</v>
      </c>
      <c r="D270" t="s">
        <v>4301</v>
      </c>
      <c r="E270" t="s">
        <v>4302</v>
      </c>
      <c r="F270" t="s">
        <v>3562</v>
      </c>
      <c r="G270" t="s">
        <v>4303</v>
      </c>
    </row>
    <row r="271" customHeight="1" spans="1:7">
      <c r="A271" t="s">
        <v>16</v>
      </c>
      <c r="B271" t="s">
        <v>4250</v>
      </c>
      <c r="C271" t="s">
        <v>4251</v>
      </c>
      <c r="D271" t="s">
        <v>4304</v>
      </c>
      <c r="E271" t="s">
        <v>4305</v>
      </c>
      <c r="F271" t="s">
        <v>3664</v>
      </c>
      <c r="G271" t="s">
        <v>4306</v>
      </c>
    </row>
    <row r="272" customHeight="1" spans="1:7">
      <c r="A272" t="s">
        <v>16</v>
      </c>
      <c r="B272" t="s">
        <v>4307</v>
      </c>
      <c r="C272" t="s">
        <v>4308</v>
      </c>
      <c r="D272" t="s">
        <v>4309</v>
      </c>
      <c r="E272" t="s">
        <v>4310</v>
      </c>
      <c r="F272" t="s">
        <v>3562</v>
      </c>
      <c r="G272" t="s">
        <v>4311</v>
      </c>
    </row>
    <row r="273" customHeight="1" spans="1:7">
      <c r="A273" t="s">
        <v>16</v>
      </c>
      <c r="B273" t="s">
        <v>4307</v>
      </c>
      <c r="C273" t="s">
        <v>4308</v>
      </c>
      <c r="D273" t="s">
        <v>4312</v>
      </c>
      <c r="E273" t="s">
        <v>4313</v>
      </c>
      <c r="F273" t="s">
        <v>3562</v>
      </c>
      <c r="G273" t="s">
        <v>4314</v>
      </c>
    </row>
    <row r="274" customHeight="1" spans="1:7">
      <c r="A274" t="s">
        <v>16</v>
      </c>
      <c r="B274" t="s">
        <v>4307</v>
      </c>
      <c r="C274" t="s">
        <v>4308</v>
      </c>
      <c r="D274" t="s">
        <v>4315</v>
      </c>
      <c r="E274" t="s">
        <v>4316</v>
      </c>
      <c r="F274" t="s">
        <v>3562</v>
      </c>
      <c r="G274" t="s">
        <v>4317</v>
      </c>
    </row>
    <row r="275" customHeight="1" spans="1:7">
      <c r="A275" t="s">
        <v>16</v>
      </c>
      <c r="B275" t="s">
        <v>4307</v>
      </c>
      <c r="C275" t="s">
        <v>4308</v>
      </c>
      <c r="D275" t="s">
        <v>4307</v>
      </c>
      <c r="E275" t="s">
        <v>4308</v>
      </c>
      <c r="F275" t="s">
        <v>3559</v>
      </c>
      <c r="G275" t="s">
        <v>4318</v>
      </c>
    </row>
    <row r="276" customHeight="1" spans="1:7">
      <c r="A276" t="s">
        <v>16</v>
      </c>
      <c r="B276" t="s">
        <v>4307</v>
      </c>
      <c r="C276" t="s">
        <v>4308</v>
      </c>
      <c r="D276" t="s">
        <v>4319</v>
      </c>
      <c r="E276" t="s">
        <v>4320</v>
      </c>
      <c r="F276" t="s">
        <v>3562</v>
      </c>
      <c r="G276" t="s">
        <v>4321</v>
      </c>
    </row>
    <row r="277" customHeight="1" spans="1:7">
      <c r="A277" t="s">
        <v>16</v>
      </c>
      <c r="B277" t="s">
        <v>4307</v>
      </c>
      <c r="C277" t="s">
        <v>4308</v>
      </c>
      <c r="D277" t="s">
        <v>4322</v>
      </c>
      <c r="E277" t="s">
        <v>4323</v>
      </c>
      <c r="F277" t="s">
        <v>3562</v>
      </c>
      <c r="G277" t="s">
        <v>4324</v>
      </c>
    </row>
    <row r="278" customHeight="1" spans="1:7">
      <c r="A278" t="s">
        <v>16</v>
      </c>
      <c r="B278" t="s">
        <v>4307</v>
      </c>
      <c r="C278" t="s">
        <v>4308</v>
      </c>
      <c r="D278" t="s">
        <v>4325</v>
      </c>
      <c r="E278" t="s">
        <v>4326</v>
      </c>
      <c r="F278" t="s">
        <v>3567</v>
      </c>
      <c r="G278" t="s">
        <v>4327</v>
      </c>
    </row>
    <row r="279" customHeight="1" spans="1:7">
      <c r="A279" t="s">
        <v>16</v>
      </c>
      <c r="B279" t="s">
        <v>4307</v>
      </c>
      <c r="C279" t="s">
        <v>4308</v>
      </c>
      <c r="D279" t="s">
        <v>4328</v>
      </c>
      <c r="E279" t="s">
        <v>4329</v>
      </c>
      <c r="F279" t="s">
        <v>3562</v>
      </c>
      <c r="G279" t="s">
        <v>4330</v>
      </c>
    </row>
    <row r="280" customHeight="1" spans="1:7">
      <c r="A280" t="s">
        <v>16</v>
      </c>
      <c r="B280" t="s">
        <v>4307</v>
      </c>
      <c r="C280" t="s">
        <v>4308</v>
      </c>
      <c r="D280" t="s">
        <v>4331</v>
      </c>
      <c r="E280" t="s">
        <v>4332</v>
      </c>
      <c r="F280" t="s">
        <v>3562</v>
      </c>
      <c r="G280" t="s">
        <v>4333</v>
      </c>
    </row>
    <row r="281" customHeight="1" spans="1:7">
      <c r="A281" t="s">
        <v>16</v>
      </c>
      <c r="B281" t="s">
        <v>4307</v>
      </c>
      <c r="C281" t="s">
        <v>4308</v>
      </c>
      <c r="D281" t="s">
        <v>3584</v>
      </c>
      <c r="E281" t="s">
        <v>4334</v>
      </c>
      <c r="F281" t="s">
        <v>3562</v>
      </c>
      <c r="G281" t="s">
        <v>4335</v>
      </c>
    </row>
    <row r="282" customHeight="1" spans="1:7">
      <c r="A282" t="s">
        <v>16</v>
      </c>
      <c r="B282" t="s">
        <v>4307</v>
      </c>
      <c r="C282" t="s">
        <v>4308</v>
      </c>
      <c r="D282" t="s">
        <v>4336</v>
      </c>
      <c r="E282" t="s">
        <v>4337</v>
      </c>
      <c r="F282" t="s">
        <v>3562</v>
      </c>
      <c r="G282" t="s">
        <v>4338</v>
      </c>
    </row>
    <row r="283" customHeight="1" spans="1:7">
      <c r="A283" t="s">
        <v>16</v>
      </c>
      <c r="B283" t="s">
        <v>4307</v>
      </c>
      <c r="C283" t="s">
        <v>4308</v>
      </c>
      <c r="D283" t="s">
        <v>4339</v>
      </c>
      <c r="E283" t="s">
        <v>4340</v>
      </c>
      <c r="F283" t="s">
        <v>3562</v>
      </c>
      <c r="G283" t="s">
        <v>4341</v>
      </c>
    </row>
    <row r="284" customHeight="1" spans="1:7">
      <c r="A284" t="s">
        <v>16</v>
      </c>
      <c r="B284" t="s">
        <v>4307</v>
      </c>
      <c r="C284" t="s">
        <v>4308</v>
      </c>
      <c r="D284" t="s">
        <v>4342</v>
      </c>
      <c r="E284" t="s">
        <v>4343</v>
      </c>
      <c r="F284" t="s">
        <v>3562</v>
      </c>
      <c r="G284" t="s">
        <v>4344</v>
      </c>
    </row>
    <row r="285" customHeight="1" spans="1:7">
      <c r="A285" t="s">
        <v>16</v>
      </c>
      <c r="B285" t="s">
        <v>4307</v>
      </c>
      <c r="C285" t="s">
        <v>4308</v>
      </c>
      <c r="D285" t="s">
        <v>4345</v>
      </c>
      <c r="E285" t="s">
        <v>4346</v>
      </c>
      <c r="F285" t="s">
        <v>3562</v>
      </c>
      <c r="G285" t="s">
        <v>4347</v>
      </c>
    </row>
    <row r="286" customHeight="1" spans="1:7">
      <c r="A286" t="s">
        <v>16</v>
      </c>
      <c r="B286" t="s">
        <v>4307</v>
      </c>
      <c r="C286" t="s">
        <v>4308</v>
      </c>
      <c r="D286" t="s">
        <v>4348</v>
      </c>
      <c r="E286" t="s">
        <v>4349</v>
      </c>
      <c r="F286" t="s">
        <v>3562</v>
      </c>
      <c r="G286" t="s">
        <v>4350</v>
      </c>
    </row>
    <row r="287" customHeight="1" spans="1:7">
      <c r="A287" t="s">
        <v>16</v>
      </c>
      <c r="B287" t="s">
        <v>4307</v>
      </c>
      <c r="C287" t="s">
        <v>4308</v>
      </c>
      <c r="D287" t="s">
        <v>4351</v>
      </c>
      <c r="E287" t="s">
        <v>4352</v>
      </c>
      <c r="F287" t="s">
        <v>3562</v>
      </c>
      <c r="G287" t="s">
        <v>4353</v>
      </c>
    </row>
    <row r="288" customHeight="1" spans="1:7">
      <c r="A288" t="s">
        <v>16</v>
      </c>
      <c r="B288" t="s">
        <v>4307</v>
      </c>
      <c r="C288" t="s">
        <v>4308</v>
      </c>
      <c r="D288" t="s">
        <v>4354</v>
      </c>
      <c r="E288" t="s">
        <v>4355</v>
      </c>
      <c r="F288" t="s">
        <v>3562</v>
      </c>
      <c r="G288" t="s">
        <v>4356</v>
      </c>
    </row>
    <row r="289" customHeight="1" spans="1:7">
      <c r="A289" t="s">
        <v>16</v>
      </c>
      <c r="B289" t="s">
        <v>4307</v>
      </c>
      <c r="C289" t="s">
        <v>4308</v>
      </c>
      <c r="D289" t="s">
        <v>4357</v>
      </c>
      <c r="E289" t="s">
        <v>4358</v>
      </c>
      <c r="F289" t="s">
        <v>3562</v>
      </c>
      <c r="G289" t="s">
        <v>4359</v>
      </c>
    </row>
    <row r="290" customHeight="1" spans="1:7">
      <c r="A290" t="s">
        <v>16</v>
      </c>
      <c r="B290" t="s">
        <v>4307</v>
      </c>
      <c r="C290" t="s">
        <v>4308</v>
      </c>
      <c r="D290" t="s">
        <v>4360</v>
      </c>
      <c r="E290" t="s">
        <v>4361</v>
      </c>
      <c r="F290" t="s">
        <v>3562</v>
      </c>
      <c r="G290" t="s">
        <v>4362</v>
      </c>
    </row>
    <row r="291" customHeight="1" spans="1:7">
      <c r="A291" t="s">
        <v>16</v>
      </c>
      <c r="B291" t="s">
        <v>4307</v>
      </c>
      <c r="C291" t="s">
        <v>4308</v>
      </c>
      <c r="D291" t="s">
        <v>4363</v>
      </c>
      <c r="E291" t="s">
        <v>4364</v>
      </c>
      <c r="F291" t="s">
        <v>3664</v>
      </c>
      <c r="G291" t="s">
        <v>4365</v>
      </c>
    </row>
    <row r="292" customHeight="1" spans="1:7">
      <c r="A292" t="s">
        <v>16</v>
      </c>
      <c r="B292" t="s">
        <v>4366</v>
      </c>
      <c r="C292" t="s">
        <v>4367</v>
      </c>
      <c r="D292" t="s">
        <v>4368</v>
      </c>
      <c r="E292" t="s">
        <v>4369</v>
      </c>
      <c r="F292" t="s">
        <v>3562</v>
      </c>
      <c r="G292" t="s">
        <v>4370</v>
      </c>
    </row>
    <row r="293" customHeight="1" spans="1:7">
      <c r="A293" t="s">
        <v>16</v>
      </c>
      <c r="B293" t="s">
        <v>4366</v>
      </c>
      <c r="C293" t="s">
        <v>4367</v>
      </c>
      <c r="D293" t="s">
        <v>4371</v>
      </c>
      <c r="E293" t="s">
        <v>4372</v>
      </c>
      <c r="F293" t="s">
        <v>3562</v>
      </c>
      <c r="G293" t="s">
        <v>4373</v>
      </c>
    </row>
    <row r="294" customHeight="1" spans="1:7">
      <c r="A294" t="s">
        <v>16</v>
      </c>
      <c r="B294" t="s">
        <v>4366</v>
      </c>
      <c r="C294" t="s">
        <v>4367</v>
      </c>
      <c r="D294" t="s">
        <v>4374</v>
      </c>
      <c r="E294" t="s">
        <v>4375</v>
      </c>
      <c r="F294" t="s">
        <v>3562</v>
      </c>
      <c r="G294" t="s">
        <v>4376</v>
      </c>
    </row>
    <row r="295" customHeight="1" spans="1:7">
      <c r="A295" t="s">
        <v>16</v>
      </c>
      <c r="B295" t="s">
        <v>4366</v>
      </c>
      <c r="C295" t="s">
        <v>4367</v>
      </c>
      <c r="D295" t="s">
        <v>4377</v>
      </c>
      <c r="E295" t="s">
        <v>4378</v>
      </c>
      <c r="F295" t="s">
        <v>3562</v>
      </c>
      <c r="G295" t="s">
        <v>4379</v>
      </c>
    </row>
    <row r="296" customHeight="1" spans="1:7">
      <c r="A296" t="s">
        <v>16</v>
      </c>
      <c r="B296" t="s">
        <v>4366</v>
      </c>
      <c r="C296" t="s">
        <v>4367</v>
      </c>
      <c r="D296" t="s">
        <v>4380</v>
      </c>
      <c r="E296" t="s">
        <v>4381</v>
      </c>
      <c r="F296" t="s">
        <v>3562</v>
      </c>
      <c r="G296" t="s">
        <v>4382</v>
      </c>
    </row>
    <row r="297" customHeight="1" spans="1:7">
      <c r="A297" t="s">
        <v>16</v>
      </c>
      <c r="B297" t="s">
        <v>4366</v>
      </c>
      <c r="C297" t="s">
        <v>4367</v>
      </c>
      <c r="D297" t="s">
        <v>4383</v>
      </c>
      <c r="E297" t="s">
        <v>4384</v>
      </c>
      <c r="F297" t="s">
        <v>3562</v>
      </c>
      <c r="G297" t="s">
        <v>4385</v>
      </c>
    </row>
    <row r="298" customHeight="1" spans="1:7">
      <c r="A298" t="s">
        <v>16</v>
      </c>
      <c r="B298" t="s">
        <v>4366</v>
      </c>
      <c r="C298" t="s">
        <v>4367</v>
      </c>
      <c r="D298" t="s">
        <v>4366</v>
      </c>
      <c r="E298" t="s">
        <v>4367</v>
      </c>
      <c r="F298" t="s">
        <v>3559</v>
      </c>
      <c r="G298" t="s">
        <v>4386</v>
      </c>
    </row>
    <row r="299" customHeight="1" spans="1:7">
      <c r="A299" t="s">
        <v>16</v>
      </c>
      <c r="B299" t="s">
        <v>4366</v>
      </c>
      <c r="C299" t="s">
        <v>4367</v>
      </c>
      <c r="D299" t="s">
        <v>4387</v>
      </c>
      <c r="E299" t="s">
        <v>4388</v>
      </c>
      <c r="F299" t="s">
        <v>3562</v>
      </c>
      <c r="G299" t="s">
        <v>4389</v>
      </c>
    </row>
    <row r="300" customHeight="1" spans="1:7">
      <c r="A300" t="s">
        <v>16</v>
      </c>
      <c r="B300" t="s">
        <v>4366</v>
      </c>
      <c r="C300" t="s">
        <v>4367</v>
      </c>
      <c r="D300" t="s">
        <v>4390</v>
      </c>
      <c r="E300" t="s">
        <v>4391</v>
      </c>
      <c r="F300" t="s">
        <v>3562</v>
      </c>
      <c r="G300" t="s">
        <v>4392</v>
      </c>
    </row>
    <row r="301" customHeight="1" spans="1:7">
      <c r="A301" t="s">
        <v>16</v>
      </c>
      <c r="B301" t="s">
        <v>4366</v>
      </c>
      <c r="C301" t="s">
        <v>4367</v>
      </c>
      <c r="D301" t="s">
        <v>4393</v>
      </c>
      <c r="E301" t="s">
        <v>4394</v>
      </c>
      <c r="F301" t="s">
        <v>3567</v>
      </c>
      <c r="G301" t="s">
        <v>4395</v>
      </c>
    </row>
    <row r="302" customHeight="1" spans="1:7">
      <c r="A302" t="s">
        <v>16</v>
      </c>
      <c r="B302" t="s">
        <v>4366</v>
      </c>
      <c r="C302" t="s">
        <v>4367</v>
      </c>
      <c r="D302" t="s">
        <v>4396</v>
      </c>
      <c r="E302" t="s">
        <v>4397</v>
      </c>
      <c r="F302" t="s">
        <v>3562</v>
      </c>
      <c r="G302" t="s">
        <v>4398</v>
      </c>
    </row>
    <row r="303" customHeight="1" spans="1:7">
      <c r="A303" t="s">
        <v>16</v>
      </c>
      <c r="B303" t="s">
        <v>4366</v>
      </c>
      <c r="C303" t="s">
        <v>4367</v>
      </c>
      <c r="D303" t="s">
        <v>4399</v>
      </c>
      <c r="E303" t="s">
        <v>4400</v>
      </c>
      <c r="F303" t="s">
        <v>3562</v>
      </c>
      <c r="G303" t="s">
        <v>4401</v>
      </c>
    </row>
    <row r="304" customHeight="1" spans="1:7">
      <c r="A304" t="s">
        <v>16</v>
      </c>
      <c r="B304" t="s">
        <v>4366</v>
      </c>
      <c r="C304" t="s">
        <v>4367</v>
      </c>
      <c r="D304" t="s">
        <v>4402</v>
      </c>
      <c r="E304" t="s">
        <v>4403</v>
      </c>
      <c r="F304" t="s">
        <v>3562</v>
      </c>
      <c r="G304" t="s">
        <v>4404</v>
      </c>
    </row>
    <row r="305" customHeight="1" spans="1:7">
      <c r="A305" t="s">
        <v>16</v>
      </c>
      <c r="B305" t="s">
        <v>4366</v>
      </c>
      <c r="C305" t="s">
        <v>4367</v>
      </c>
      <c r="D305" t="s">
        <v>4405</v>
      </c>
      <c r="E305" t="s">
        <v>4406</v>
      </c>
      <c r="F305" t="s">
        <v>3562</v>
      </c>
      <c r="G305" t="s">
        <v>4407</v>
      </c>
    </row>
    <row r="306" customHeight="1" spans="1:7">
      <c r="A306" t="s">
        <v>16</v>
      </c>
      <c r="B306" t="s">
        <v>4366</v>
      </c>
      <c r="C306" t="s">
        <v>4367</v>
      </c>
      <c r="D306" t="s">
        <v>4408</v>
      </c>
      <c r="E306" t="s">
        <v>4409</v>
      </c>
      <c r="F306" t="s">
        <v>3562</v>
      </c>
      <c r="G306" t="s">
        <v>4410</v>
      </c>
    </row>
    <row r="307" customHeight="1" spans="1:7">
      <c r="A307" t="s">
        <v>16</v>
      </c>
      <c r="B307" t="s">
        <v>4366</v>
      </c>
      <c r="C307" t="s">
        <v>4367</v>
      </c>
      <c r="D307" t="s">
        <v>4411</v>
      </c>
      <c r="E307" t="s">
        <v>4412</v>
      </c>
      <c r="F307" t="s">
        <v>3562</v>
      </c>
      <c r="G307" t="s">
        <v>4413</v>
      </c>
    </row>
    <row r="308" customHeight="1" spans="1:7">
      <c r="A308" t="s">
        <v>16</v>
      </c>
      <c r="B308" t="s">
        <v>4366</v>
      </c>
      <c r="C308" t="s">
        <v>4367</v>
      </c>
      <c r="D308" t="s">
        <v>4414</v>
      </c>
      <c r="E308" t="s">
        <v>4415</v>
      </c>
      <c r="F308" t="s">
        <v>3562</v>
      </c>
      <c r="G308" t="s">
        <v>4416</v>
      </c>
    </row>
    <row r="309" customHeight="1" spans="1:7">
      <c r="A309" t="s">
        <v>16</v>
      </c>
      <c r="B309" t="s">
        <v>4366</v>
      </c>
      <c r="C309" t="s">
        <v>4367</v>
      </c>
      <c r="D309" t="s">
        <v>4417</v>
      </c>
      <c r="E309" t="s">
        <v>4418</v>
      </c>
      <c r="F309" t="s">
        <v>3562</v>
      </c>
      <c r="G309" t="s">
        <v>4419</v>
      </c>
    </row>
    <row r="310" customHeight="1" spans="1:7">
      <c r="A310" t="s">
        <v>16</v>
      </c>
      <c r="B310" t="s">
        <v>4366</v>
      </c>
      <c r="C310" t="s">
        <v>4367</v>
      </c>
      <c r="D310" t="s">
        <v>4420</v>
      </c>
      <c r="E310" t="s">
        <v>4421</v>
      </c>
      <c r="F310" t="s">
        <v>3562</v>
      </c>
      <c r="G310" t="s">
        <v>4422</v>
      </c>
    </row>
    <row r="311" customHeight="1" spans="1:7">
      <c r="A311" t="s">
        <v>16</v>
      </c>
      <c r="B311" t="s">
        <v>4366</v>
      </c>
      <c r="C311" t="s">
        <v>4367</v>
      </c>
      <c r="D311" t="s">
        <v>4423</v>
      </c>
      <c r="E311" t="s">
        <v>4424</v>
      </c>
      <c r="F311" t="s">
        <v>3562</v>
      </c>
      <c r="G311" t="s">
        <v>4425</v>
      </c>
    </row>
    <row r="312" customHeight="1" spans="1:7">
      <c r="A312" t="s">
        <v>16</v>
      </c>
      <c r="B312" t="s">
        <v>4366</v>
      </c>
      <c r="C312" t="s">
        <v>4367</v>
      </c>
      <c r="D312" t="s">
        <v>4426</v>
      </c>
      <c r="E312" t="s">
        <v>4427</v>
      </c>
      <c r="F312" t="s">
        <v>3562</v>
      </c>
      <c r="G312" t="s">
        <v>4428</v>
      </c>
    </row>
    <row r="313" customHeight="1" spans="1:7">
      <c r="A313" t="s">
        <v>16</v>
      </c>
      <c r="B313" t="s">
        <v>4366</v>
      </c>
      <c r="C313" t="s">
        <v>4367</v>
      </c>
      <c r="D313" t="s">
        <v>4429</v>
      </c>
      <c r="E313" t="s">
        <v>4430</v>
      </c>
      <c r="F313" t="s">
        <v>3562</v>
      </c>
      <c r="G313" t="s">
        <v>4431</v>
      </c>
    </row>
    <row r="314" customHeight="1" spans="1:7">
      <c r="A314" t="s">
        <v>16</v>
      </c>
      <c r="B314" t="s">
        <v>4366</v>
      </c>
      <c r="C314" t="s">
        <v>4367</v>
      </c>
      <c r="D314" t="s">
        <v>4432</v>
      </c>
      <c r="E314" t="s">
        <v>4433</v>
      </c>
      <c r="F314" t="s">
        <v>3562</v>
      </c>
      <c r="G314" t="s">
        <v>4434</v>
      </c>
    </row>
    <row r="315" customHeight="1" spans="1:7">
      <c r="A315" t="s">
        <v>16</v>
      </c>
      <c r="B315" t="s">
        <v>4366</v>
      </c>
      <c r="C315" t="s">
        <v>4367</v>
      </c>
      <c r="D315" t="s">
        <v>4435</v>
      </c>
      <c r="E315" t="s">
        <v>4436</v>
      </c>
      <c r="F315" t="s">
        <v>3562</v>
      </c>
      <c r="G315" t="s">
        <v>4437</v>
      </c>
    </row>
    <row r="316" customHeight="1" spans="1:7">
      <c r="A316" t="s">
        <v>16</v>
      </c>
      <c r="B316" t="s">
        <v>4366</v>
      </c>
      <c r="C316" t="s">
        <v>4367</v>
      </c>
      <c r="D316" t="s">
        <v>4438</v>
      </c>
      <c r="E316" t="s">
        <v>4439</v>
      </c>
      <c r="F316" t="s">
        <v>3562</v>
      </c>
      <c r="G316" t="s">
        <v>4440</v>
      </c>
    </row>
    <row r="317" customHeight="1" spans="1:7">
      <c r="A317" t="s">
        <v>16</v>
      </c>
      <c r="B317" t="s">
        <v>4366</v>
      </c>
      <c r="C317" t="s">
        <v>4367</v>
      </c>
      <c r="D317" t="s">
        <v>4441</v>
      </c>
      <c r="E317" t="s">
        <v>4442</v>
      </c>
      <c r="F317" t="s">
        <v>3562</v>
      </c>
      <c r="G317" t="s">
        <v>4443</v>
      </c>
    </row>
    <row r="318" customHeight="1" spans="1:7">
      <c r="A318" t="s">
        <v>16</v>
      </c>
      <c r="B318" t="s">
        <v>4366</v>
      </c>
      <c r="C318" t="s">
        <v>4367</v>
      </c>
      <c r="D318" t="s">
        <v>4444</v>
      </c>
      <c r="E318" t="s">
        <v>4445</v>
      </c>
      <c r="F318" t="s">
        <v>3562</v>
      </c>
      <c r="G318" t="s">
        <v>4446</v>
      </c>
    </row>
    <row r="319" customHeight="1" spans="1:7">
      <c r="A319" t="s">
        <v>16</v>
      </c>
      <c r="B319" t="s">
        <v>4366</v>
      </c>
      <c r="C319" t="s">
        <v>4367</v>
      </c>
      <c r="D319" t="s">
        <v>4447</v>
      </c>
      <c r="E319" t="s">
        <v>4448</v>
      </c>
      <c r="F319" t="s">
        <v>3562</v>
      </c>
      <c r="G319" t="s">
        <v>4449</v>
      </c>
    </row>
    <row r="320" customHeight="1" spans="1:7">
      <c r="A320" t="s">
        <v>16</v>
      </c>
      <c r="B320" t="s">
        <v>4366</v>
      </c>
      <c r="C320" t="s">
        <v>4367</v>
      </c>
      <c r="D320" t="s">
        <v>4450</v>
      </c>
      <c r="E320" t="s">
        <v>4451</v>
      </c>
      <c r="F320" t="s">
        <v>3562</v>
      </c>
      <c r="G320" t="s">
        <v>4452</v>
      </c>
    </row>
    <row r="321" customHeight="1" spans="1:7">
      <c r="A321" t="s">
        <v>16</v>
      </c>
      <c r="B321" t="s">
        <v>4366</v>
      </c>
      <c r="C321" t="s">
        <v>4367</v>
      </c>
      <c r="D321" t="s">
        <v>4453</v>
      </c>
      <c r="E321" t="s">
        <v>4454</v>
      </c>
      <c r="F321" t="s">
        <v>3562</v>
      </c>
      <c r="G321" t="s">
        <v>4455</v>
      </c>
    </row>
    <row r="322" customHeight="1" spans="1:7">
      <c r="A322" t="s">
        <v>16</v>
      </c>
      <c r="B322" t="s">
        <v>4366</v>
      </c>
      <c r="C322" t="s">
        <v>4367</v>
      </c>
      <c r="D322" t="s">
        <v>4456</v>
      </c>
      <c r="E322" t="s">
        <v>4457</v>
      </c>
      <c r="F322" t="s">
        <v>3562</v>
      </c>
      <c r="G322" t="s">
        <v>4458</v>
      </c>
    </row>
    <row r="323" customHeight="1" spans="1:7">
      <c r="A323" t="s">
        <v>16</v>
      </c>
      <c r="B323" t="s">
        <v>4366</v>
      </c>
      <c r="C323" t="s">
        <v>4367</v>
      </c>
      <c r="D323" t="s">
        <v>4459</v>
      </c>
      <c r="E323" t="s">
        <v>4460</v>
      </c>
      <c r="F323" t="s">
        <v>3562</v>
      </c>
      <c r="G323" t="s">
        <v>4461</v>
      </c>
    </row>
    <row r="324" customHeight="1" spans="1:7">
      <c r="A324" t="s">
        <v>16</v>
      </c>
      <c r="B324" t="s">
        <v>4462</v>
      </c>
      <c r="C324" t="s">
        <v>4463</v>
      </c>
      <c r="D324" t="s">
        <v>4464</v>
      </c>
      <c r="E324" t="s">
        <v>4465</v>
      </c>
      <c r="F324" t="s">
        <v>3562</v>
      </c>
      <c r="G324" t="s">
        <v>4466</v>
      </c>
    </row>
    <row r="325" customHeight="1" spans="1:7">
      <c r="A325" t="s">
        <v>16</v>
      </c>
      <c r="B325" t="s">
        <v>4462</v>
      </c>
      <c r="C325" t="s">
        <v>4463</v>
      </c>
      <c r="D325" t="s">
        <v>4467</v>
      </c>
      <c r="E325" t="s">
        <v>4468</v>
      </c>
      <c r="F325" t="s">
        <v>3562</v>
      </c>
      <c r="G325" t="s">
        <v>4469</v>
      </c>
    </row>
    <row r="326" customHeight="1" spans="1:7">
      <c r="A326" t="s">
        <v>16</v>
      </c>
      <c r="B326" t="s">
        <v>4462</v>
      </c>
      <c r="C326" t="s">
        <v>4463</v>
      </c>
      <c r="D326" t="s">
        <v>3618</v>
      </c>
      <c r="E326" t="s">
        <v>4470</v>
      </c>
      <c r="F326" t="s">
        <v>3562</v>
      </c>
      <c r="G326" t="s">
        <v>4471</v>
      </c>
    </row>
    <row r="327" customHeight="1" spans="1:7">
      <c r="A327" t="s">
        <v>16</v>
      </c>
      <c r="B327" t="s">
        <v>4462</v>
      </c>
      <c r="C327" t="s">
        <v>4463</v>
      </c>
      <c r="D327" t="s">
        <v>4472</v>
      </c>
      <c r="E327" t="s">
        <v>4473</v>
      </c>
      <c r="F327" t="s">
        <v>3562</v>
      </c>
      <c r="G327" t="s">
        <v>4474</v>
      </c>
    </row>
    <row r="328" customHeight="1" spans="1:7">
      <c r="A328" t="s">
        <v>16</v>
      </c>
      <c r="B328" t="s">
        <v>4462</v>
      </c>
      <c r="C328" t="s">
        <v>4463</v>
      </c>
      <c r="D328" t="s">
        <v>4462</v>
      </c>
      <c r="E328" t="s">
        <v>4463</v>
      </c>
      <c r="F328" t="s">
        <v>3559</v>
      </c>
      <c r="G328" t="s">
        <v>4475</v>
      </c>
    </row>
    <row r="329" customHeight="1" spans="1:7">
      <c r="A329" t="s">
        <v>16</v>
      </c>
      <c r="B329" t="s">
        <v>4462</v>
      </c>
      <c r="C329" t="s">
        <v>4463</v>
      </c>
      <c r="D329" t="s">
        <v>4476</v>
      </c>
      <c r="E329" t="s">
        <v>4477</v>
      </c>
      <c r="F329" t="s">
        <v>3562</v>
      </c>
      <c r="G329" t="s">
        <v>4478</v>
      </c>
    </row>
    <row r="330" customHeight="1" spans="1:7">
      <c r="A330" t="s">
        <v>16</v>
      </c>
      <c r="B330" t="s">
        <v>4462</v>
      </c>
      <c r="C330" t="s">
        <v>4463</v>
      </c>
      <c r="D330" t="s">
        <v>4479</v>
      </c>
      <c r="E330" t="s">
        <v>4480</v>
      </c>
      <c r="F330" t="s">
        <v>3562</v>
      </c>
      <c r="G330" t="s">
        <v>4481</v>
      </c>
    </row>
    <row r="331" customHeight="1" spans="1:7">
      <c r="A331" t="s">
        <v>16</v>
      </c>
      <c r="B331" t="s">
        <v>4462</v>
      </c>
      <c r="C331" t="s">
        <v>4463</v>
      </c>
      <c r="D331" t="s">
        <v>4482</v>
      </c>
      <c r="E331" t="s">
        <v>4483</v>
      </c>
      <c r="F331" t="s">
        <v>3562</v>
      </c>
      <c r="G331" t="s">
        <v>4484</v>
      </c>
    </row>
    <row r="332" customHeight="1" spans="1:7">
      <c r="A332" t="s">
        <v>16</v>
      </c>
      <c r="B332" t="s">
        <v>4462</v>
      </c>
      <c r="C332" t="s">
        <v>4463</v>
      </c>
      <c r="D332" t="s">
        <v>4485</v>
      </c>
      <c r="E332" t="s">
        <v>4486</v>
      </c>
      <c r="F332" t="s">
        <v>3562</v>
      </c>
      <c r="G332" t="s">
        <v>4487</v>
      </c>
    </row>
    <row r="333" customHeight="1" spans="1:7">
      <c r="A333" t="s">
        <v>16</v>
      </c>
      <c r="B333" t="s">
        <v>4462</v>
      </c>
      <c r="C333" t="s">
        <v>4463</v>
      </c>
      <c r="D333" t="s">
        <v>4488</v>
      </c>
      <c r="E333" t="s">
        <v>4489</v>
      </c>
      <c r="F333" t="s">
        <v>3562</v>
      </c>
      <c r="G333" t="s">
        <v>4490</v>
      </c>
    </row>
    <row r="334" customHeight="1" spans="1:7">
      <c r="A334" t="s">
        <v>16</v>
      </c>
      <c r="B334" t="s">
        <v>4462</v>
      </c>
      <c r="C334" t="s">
        <v>4463</v>
      </c>
      <c r="D334" t="s">
        <v>4491</v>
      </c>
      <c r="E334" t="s">
        <v>4492</v>
      </c>
      <c r="F334" t="s">
        <v>3562</v>
      </c>
      <c r="G334" t="s">
        <v>4493</v>
      </c>
    </row>
    <row r="335" customHeight="1" spans="1:7">
      <c r="A335" t="s">
        <v>16</v>
      </c>
      <c r="B335" t="s">
        <v>4462</v>
      </c>
      <c r="C335" t="s">
        <v>4463</v>
      </c>
      <c r="D335" t="s">
        <v>4494</v>
      </c>
      <c r="E335" t="s">
        <v>4495</v>
      </c>
      <c r="F335" t="s">
        <v>3562</v>
      </c>
      <c r="G335" t="s">
        <v>4496</v>
      </c>
    </row>
    <row r="336" customHeight="1" spans="1:7">
      <c r="A336" t="s">
        <v>16</v>
      </c>
      <c r="B336" t="s">
        <v>4462</v>
      </c>
      <c r="C336" t="s">
        <v>4463</v>
      </c>
      <c r="D336" t="s">
        <v>4497</v>
      </c>
      <c r="E336" t="s">
        <v>4498</v>
      </c>
      <c r="F336" t="s">
        <v>3562</v>
      </c>
      <c r="G336" t="s">
        <v>4499</v>
      </c>
    </row>
    <row r="337" customHeight="1" spans="1:7">
      <c r="A337" t="s">
        <v>16</v>
      </c>
      <c r="B337" t="s">
        <v>4462</v>
      </c>
      <c r="C337" t="s">
        <v>4463</v>
      </c>
      <c r="D337" t="s">
        <v>4500</v>
      </c>
      <c r="E337" t="s">
        <v>4501</v>
      </c>
      <c r="F337" t="s">
        <v>3562</v>
      </c>
      <c r="G337" t="s">
        <v>4502</v>
      </c>
    </row>
    <row r="338" customHeight="1" spans="1:7">
      <c r="A338" t="s">
        <v>16</v>
      </c>
      <c r="B338" t="s">
        <v>4462</v>
      </c>
      <c r="C338" t="s">
        <v>4463</v>
      </c>
      <c r="D338" t="s">
        <v>4503</v>
      </c>
      <c r="E338" t="s">
        <v>4504</v>
      </c>
      <c r="F338" t="s">
        <v>3562</v>
      </c>
      <c r="G338" t="s">
        <v>4505</v>
      </c>
    </row>
    <row r="339" customHeight="1" spans="1:7">
      <c r="A339" t="s">
        <v>16</v>
      </c>
      <c r="B339" t="s">
        <v>4462</v>
      </c>
      <c r="C339" t="s">
        <v>4463</v>
      </c>
      <c r="D339" t="s">
        <v>4506</v>
      </c>
      <c r="E339" t="s">
        <v>4507</v>
      </c>
      <c r="F339" t="s">
        <v>3562</v>
      </c>
      <c r="G339" t="s">
        <v>4508</v>
      </c>
    </row>
    <row r="340" customHeight="1" spans="1:7">
      <c r="A340" t="s">
        <v>16</v>
      </c>
      <c r="B340" t="s">
        <v>4462</v>
      </c>
      <c r="C340" t="s">
        <v>4463</v>
      </c>
      <c r="D340" t="s">
        <v>4509</v>
      </c>
      <c r="E340" t="s">
        <v>4510</v>
      </c>
      <c r="F340" t="s">
        <v>3562</v>
      </c>
      <c r="G340" t="s">
        <v>4511</v>
      </c>
    </row>
    <row r="341" customHeight="1" spans="1:7">
      <c r="A341" t="s">
        <v>16</v>
      </c>
      <c r="B341" t="s">
        <v>4462</v>
      </c>
      <c r="C341" t="s">
        <v>4463</v>
      </c>
      <c r="D341" t="s">
        <v>4512</v>
      </c>
      <c r="E341" t="s">
        <v>4513</v>
      </c>
      <c r="F341" t="s">
        <v>3562</v>
      </c>
      <c r="G341" t="s">
        <v>4514</v>
      </c>
    </row>
    <row r="342" customHeight="1" spans="1:7">
      <c r="A342" t="s">
        <v>16</v>
      </c>
      <c r="B342" t="s">
        <v>4462</v>
      </c>
      <c r="C342" t="s">
        <v>4463</v>
      </c>
      <c r="D342" t="s">
        <v>4515</v>
      </c>
      <c r="E342" t="s">
        <v>4516</v>
      </c>
      <c r="F342" t="s">
        <v>3562</v>
      </c>
      <c r="G342" t="s">
        <v>4517</v>
      </c>
    </row>
    <row r="343" customHeight="1" spans="1:7">
      <c r="A343" t="s">
        <v>16</v>
      </c>
      <c r="B343" t="s">
        <v>4462</v>
      </c>
      <c r="C343" t="s">
        <v>4463</v>
      </c>
      <c r="D343" t="s">
        <v>4518</v>
      </c>
      <c r="E343" t="s">
        <v>4519</v>
      </c>
      <c r="F343" t="s">
        <v>3562</v>
      </c>
      <c r="G343" t="s">
        <v>4520</v>
      </c>
    </row>
    <row r="344" customHeight="1" spans="1:7">
      <c r="A344" t="s">
        <v>16</v>
      </c>
      <c r="B344" t="s">
        <v>4462</v>
      </c>
      <c r="C344" t="s">
        <v>4463</v>
      </c>
      <c r="D344" t="s">
        <v>4521</v>
      </c>
      <c r="E344" t="s">
        <v>4522</v>
      </c>
      <c r="F344" t="s">
        <v>3567</v>
      </c>
      <c r="G344" t="s">
        <v>4523</v>
      </c>
    </row>
    <row r="345" customHeight="1" spans="1:7">
      <c r="A345" t="s">
        <v>16</v>
      </c>
      <c r="B345" t="s">
        <v>4524</v>
      </c>
      <c r="C345" t="s">
        <v>4525</v>
      </c>
      <c r="D345" t="s">
        <v>4526</v>
      </c>
      <c r="E345" t="s">
        <v>4527</v>
      </c>
      <c r="F345" t="s">
        <v>3562</v>
      </c>
      <c r="G345" t="s">
        <v>4528</v>
      </c>
    </row>
    <row r="346" customHeight="1" spans="1:7">
      <c r="A346" t="s">
        <v>16</v>
      </c>
      <c r="B346" t="s">
        <v>4524</v>
      </c>
      <c r="C346" t="s">
        <v>4525</v>
      </c>
      <c r="D346" t="s">
        <v>4529</v>
      </c>
      <c r="E346" t="s">
        <v>4530</v>
      </c>
      <c r="F346" t="s">
        <v>3562</v>
      </c>
      <c r="G346" t="s">
        <v>4531</v>
      </c>
    </row>
    <row r="347" customHeight="1" spans="1:7">
      <c r="A347" t="s">
        <v>16</v>
      </c>
      <c r="B347" t="s">
        <v>4524</v>
      </c>
      <c r="C347" t="s">
        <v>4525</v>
      </c>
      <c r="D347" t="s">
        <v>4532</v>
      </c>
      <c r="E347" t="s">
        <v>4533</v>
      </c>
      <c r="F347" t="s">
        <v>3562</v>
      </c>
      <c r="G347" t="s">
        <v>4534</v>
      </c>
    </row>
    <row r="348" customHeight="1" spans="1:7">
      <c r="A348" t="s">
        <v>16</v>
      </c>
      <c r="B348" t="s">
        <v>4524</v>
      </c>
      <c r="C348" t="s">
        <v>4525</v>
      </c>
      <c r="D348" t="s">
        <v>4535</v>
      </c>
      <c r="E348" t="s">
        <v>4536</v>
      </c>
      <c r="F348" t="s">
        <v>3562</v>
      </c>
      <c r="G348" t="s">
        <v>4537</v>
      </c>
    </row>
    <row r="349" customHeight="1" spans="1:7">
      <c r="A349" t="s">
        <v>16</v>
      </c>
      <c r="B349" t="s">
        <v>4524</v>
      </c>
      <c r="C349" t="s">
        <v>4525</v>
      </c>
      <c r="D349" t="s">
        <v>4538</v>
      </c>
      <c r="E349" t="s">
        <v>4539</v>
      </c>
      <c r="F349" t="s">
        <v>3562</v>
      </c>
      <c r="G349" t="s">
        <v>4540</v>
      </c>
    </row>
    <row r="350" customHeight="1" spans="1:7">
      <c r="A350" t="s">
        <v>16</v>
      </c>
      <c r="B350" t="s">
        <v>4524</v>
      </c>
      <c r="C350" t="s">
        <v>4525</v>
      </c>
      <c r="D350" t="s">
        <v>4541</v>
      </c>
      <c r="E350" t="s">
        <v>4542</v>
      </c>
      <c r="F350" t="s">
        <v>3562</v>
      </c>
      <c r="G350" t="s">
        <v>4543</v>
      </c>
    </row>
    <row r="351" customHeight="1" spans="1:7">
      <c r="A351" t="s">
        <v>16</v>
      </c>
      <c r="B351" t="s">
        <v>4524</v>
      </c>
      <c r="C351" t="s">
        <v>4525</v>
      </c>
      <c r="D351" t="s">
        <v>4544</v>
      </c>
      <c r="E351" t="s">
        <v>4545</v>
      </c>
      <c r="F351" t="s">
        <v>3562</v>
      </c>
      <c r="G351" t="s">
        <v>4546</v>
      </c>
    </row>
    <row r="352" customHeight="1" spans="1:7">
      <c r="A352" t="s">
        <v>16</v>
      </c>
      <c r="B352" t="s">
        <v>4524</v>
      </c>
      <c r="C352" t="s">
        <v>4525</v>
      </c>
      <c r="D352" t="s">
        <v>4524</v>
      </c>
      <c r="E352" t="s">
        <v>4525</v>
      </c>
      <c r="F352" t="s">
        <v>3559</v>
      </c>
      <c r="G352" t="s">
        <v>4547</v>
      </c>
    </row>
    <row r="353" customHeight="1" spans="1:7">
      <c r="A353" t="s">
        <v>16</v>
      </c>
      <c r="B353" t="s">
        <v>4524</v>
      </c>
      <c r="C353" t="s">
        <v>4525</v>
      </c>
      <c r="D353" t="s">
        <v>4548</v>
      </c>
      <c r="E353" t="s">
        <v>4549</v>
      </c>
      <c r="F353" t="s">
        <v>3562</v>
      </c>
      <c r="G353" t="s">
        <v>4550</v>
      </c>
    </row>
    <row r="354" customHeight="1" spans="1:7">
      <c r="A354" t="s">
        <v>16</v>
      </c>
      <c r="B354" t="s">
        <v>4524</v>
      </c>
      <c r="C354" t="s">
        <v>4525</v>
      </c>
      <c r="D354" t="s">
        <v>4551</v>
      </c>
      <c r="E354" t="s">
        <v>4552</v>
      </c>
      <c r="F354" t="s">
        <v>3562</v>
      </c>
      <c r="G354" t="s">
        <v>4553</v>
      </c>
    </row>
    <row r="355" customHeight="1" spans="1:7">
      <c r="A355" t="s">
        <v>16</v>
      </c>
      <c r="B355" t="s">
        <v>4524</v>
      </c>
      <c r="C355" t="s">
        <v>4525</v>
      </c>
      <c r="D355" t="s">
        <v>4554</v>
      </c>
      <c r="E355" t="s">
        <v>4555</v>
      </c>
      <c r="F355" t="s">
        <v>3562</v>
      </c>
      <c r="G355" t="s">
        <v>4556</v>
      </c>
    </row>
    <row r="356" customHeight="1" spans="1:7">
      <c r="A356" t="s">
        <v>16</v>
      </c>
      <c r="B356" t="s">
        <v>4524</v>
      </c>
      <c r="C356" t="s">
        <v>4525</v>
      </c>
      <c r="D356" t="s">
        <v>4557</v>
      </c>
      <c r="E356" t="s">
        <v>4558</v>
      </c>
      <c r="F356" t="s">
        <v>3562</v>
      </c>
      <c r="G356" t="s">
        <v>4559</v>
      </c>
    </row>
    <row r="357" customHeight="1" spans="1:7">
      <c r="A357" t="s">
        <v>16</v>
      </c>
      <c r="B357" t="s">
        <v>4524</v>
      </c>
      <c r="C357" t="s">
        <v>4525</v>
      </c>
      <c r="D357" t="s">
        <v>4560</v>
      </c>
      <c r="E357" t="s">
        <v>4561</v>
      </c>
      <c r="F357" t="s">
        <v>3562</v>
      </c>
      <c r="G357" t="s">
        <v>4562</v>
      </c>
    </row>
    <row r="358" customHeight="1" spans="1:7">
      <c r="A358" t="s">
        <v>16</v>
      </c>
      <c r="B358" t="s">
        <v>4524</v>
      </c>
      <c r="C358" t="s">
        <v>4525</v>
      </c>
      <c r="D358" t="s">
        <v>4563</v>
      </c>
      <c r="E358" t="s">
        <v>4564</v>
      </c>
      <c r="F358" t="s">
        <v>3562</v>
      </c>
      <c r="G358" t="s">
        <v>4565</v>
      </c>
    </row>
    <row r="359" customHeight="1" spans="1:7">
      <c r="A359" t="s">
        <v>16</v>
      </c>
      <c r="B359" t="s">
        <v>4524</v>
      </c>
      <c r="C359" t="s">
        <v>4525</v>
      </c>
      <c r="D359" t="s">
        <v>4566</v>
      </c>
      <c r="E359" t="s">
        <v>4567</v>
      </c>
      <c r="F359" t="s">
        <v>3562</v>
      </c>
      <c r="G359" t="s">
        <v>4568</v>
      </c>
    </row>
    <row r="360" customHeight="1" spans="1:7">
      <c r="A360" t="s">
        <v>16</v>
      </c>
      <c r="B360" t="s">
        <v>4524</v>
      </c>
      <c r="C360" t="s">
        <v>4525</v>
      </c>
      <c r="D360" t="s">
        <v>4569</v>
      </c>
      <c r="E360" t="s">
        <v>4570</v>
      </c>
      <c r="F360" t="s">
        <v>3562</v>
      </c>
      <c r="G360" t="s">
        <v>4571</v>
      </c>
    </row>
    <row r="361" customHeight="1" spans="1:7">
      <c r="A361" t="s">
        <v>16</v>
      </c>
      <c r="B361" t="s">
        <v>4524</v>
      </c>
      <c r="C361" t="s">
        <v>4525</v>
      </c>
      <c r="D361" t="s">
        <v>4572</v>
      </c>
      <c r="E361" t="s">
        <v>4573</v>
      </c>
      <c r="F361" t="s">
        <v>3562</v>
      </c>
      <c r="G361" t="s">
        <v>4574</v>
      </c>
    </row>
    <row r="362" customHeight="1" spans="1:7">
      <c r="A362" t="s">
        <v>16</v>
      </c>
      <c r="B362" t="s">
        <v>4524</v>
      </c>
      <c r="C362" t="s">
        <v>4525</v>
      </c>
      <c r="D362" t="s">
        <v>4575</v>
      </c>
      <c r="E362" t="s">
        <v>4576</v>
      </c>
      <c r="F362" t="s">
        <v>3562</v>
      </c>
      <c r="G362" t="s">
        <v>4577</v>
      </c>
    </row>
    <row r="363" customHeight="1" spans="1:7">
      <c r="A363" t="s">
        <v>16</v>
      </c>
      <c r="B363" t="s">
        <v>4524</v>
      </c>
      <c r="C363" t="s">
        <v>4525</v>
      </c>
      <c r="D363" t="s">
        <v>4578</v>
      </c>
      <c r="E363" t="s">
        <v>4579</v>
      </c>
      <c r="F363" t="s">
        <v>3562</v>
      </c>
      <c r="G363" t="s">
        <v>4580</v>
      </c>
    </row>
    <row r="364" customHeight="1" spans="1:7">
      <c r="A364" t="s">
        <v>16</v>
      </c>
      <c r="B364" t="s">
        <v>4524</v>
      </c>
      <c r="C364" t="s">
        <v>4525</v>
      </c>
      <c r="D364" t="s">
        <v>4581</v>
      </c>
      <c r="E364" t="s">
        <v>4582</v>
      </c>
      <c r="F364" t="s">
        <v>3562</v>
      </c>
      <c r="G364" t="s">
        <v>4583</v>
      </c>
    </row>
    <row r="365" customHeight="1" spans="1:7">
      <c r="A365" t="s">
        <v>16</v>
      </c>
      <c r="B365" t="s">
        <v>4524</v>
      </c>
      <c r="C365" t="s">
        <v>4525</v>
      </c>
      <c r="D365" t="s">
        <v>4584</v>
      </c>
      <c r="E365" t="s">
        <v>4585</v>
      </c>
      <c r="F365" t="s">
        <v>3562</v>
      </c>
      <c r="G365" t="s">
        <v>4586</v>
      </c>
    </row>
    <row r="366" customHeight="1" spans="1:7">
      <c r="A366" t="s">
        <v>16</v>
      </c>
      <c r="B366" t="s">
        <v>4524</v>
      </c>
      <c r="C366" t="s">
        <v>4525</v>
      </c>
      <c r="D366" t="s">
        <v>4587</v>
      </c>
      <c r="E366" t="s">
        <v>4588</v>
      </c>
      <c r="F366" t="s">
        <v>3562</v>
      </c>
      <c r="G366" t="s">
        <v>4589</v>
      </c>
    </row>
    <row r="367" customHeight="1" spans="1:7">
      <c r="A367" t="s">
        <v>16</v>
      </c>
      <c r="B367" t="s">
        <v>4524</v>
      </c>
      <c r="C367" t="s">
        <v>4525</v>
      </c>
      <c r="D367" t="s">
        <v>4590</v>
      </c>
      <c r="E367" t="s">
        <v>4591</v>
      </c>
      <c r="F367" t="s">
        <v>3562</v>
      </c>
      <c r="G367" t="s">
        <v>4592</v>
      </c>
    </row>
    <row r="368" customHeight="1" spans="1:7">
      <c r="A368" t="s">
        <v>16</v>
      </c>
      <c r="B368" t="s">
        <v>4524</v>
      </c>
      <c r="C368" t="s">
        <v>4525</v>
      </c>
      <c r="D368" t="s">
        <v>4593</v>
      </c>
      <c r="E368" t="s">
        <v>4594</v>
      </c>
      <c r="F368" t="s">
        <v>3562</v>
      </c>
      <c r="G368" t="s">
        <v>4595</v>
      </c>
    </row>
    <row r="369" customHeight="1" spans="1:7">
      <c r="A369" t="s">
        <v>16</v>
      </c>
      <c r="B369" t="s">
        <v>4524</v>
      </c>
      <c r="C369" t="s">
        <v>4525</v>
      </c>
      <c r="D369" t="s">
        <v>4596</v>
      </c>
      <c r="E369" t="s">
        <v>4597</v>
      </c>
      <c r="F369" t="s">
        <v>3562</v>
      </c>
      <c r="G369" t="s">
        <v>4598</v>
      </c>
    </row>
    <row r="370" customHeight="1" spans="1:7">
      <c r="A370" t="s">
        <v>16</v>
      </c>
      <c r="B370" t="s">
        <v>4524</v>
      </c>
      <c r="C370" t="s">
        <v>4525</v>
      </c>
      <c r="D370" t="s">
        <v>4599</v>
      </c>
      <c r="E370" t="s">
        <v>4600</v>
      </c>
      <c r="F370" t="s">
        <v>3562</v>
      </c>
      <c r="G370" t="s">
        <v>4601</v>
      </c>
    </row>
    <row r="371" customHeight="1" spans="1:7">
      <c r="A371" t="s">
        <v>16</v>
      </c>
      <c r="B371" t="s">
        <v>4602</v>
      </c>
      <c r="C371" t="s">
        <v>4603</v>
      </c>
      <c r="D371" t="s">
        <v>4602</v>
      </c>
      <c r="E371" t="s">
        <v>4603</v>
      </c>
      <c r="F371" t="s">
        <v>4604</v>
      </c>
      <c r="G371" t="s">
        <v>4605</v>
      </c>
    </row>
    <row r="372" customHeight="1" spans="1:7">
      <c r="A372" t="s">
        <v>16</v>
      </c>
      <c r="B372" t="s">
        <v>4606</v>
      </c>
      <c r="C372" t="s">
        <v>4607</v>
      </c>
      <c r="D372" t="s">
        <v>4606</v>
      </c>
      <c r="E372" t="s">
        <v>4607</v>
      </c>
      <c r="F372" t="s">
        <v>4604</v>
      </c>
      <c r="G372" t="s">
        <v>4608</v>
      </c>
    </row>
    <row r="373" customHeight="1" spans="1:7">
      <c r="A373" t="s">
        <v>16</v>
      </c>
      <c r="B373" t="s">
        <v>4609</v>
      </c>
      <c r="C373" t="s">
        <v>4610</v>
      </c>
      <c r="D373" t="s">
        <v>4611</v>
      </c>
      <c r="E373" t="s">
        <v>4612</v>
      </c>
      <c r="F373" t="s">
        <v>3562</v>
      </c>
      <c r="G373" t="s">
        <v>4613</v>
      </c>
    </row>
    <row r="374" customHeight="1" spans="1:7">
      <c r="A374" t="s">
        <v>16</v>
      </c>
      <c r="B374" t="s">
        <v>4609</v>
      </c>
      <c r="C374" t="s">
        <v>4610</v>
      </c>
      <c r="D374" t="s">
        <v>4614</v>
      </c>
      <c r="E374" t="s">
        <v>4615</v>
      </c>
      <c r="F374" t="s">
        <v>3562</v>
      </c>
      <c r="G374" t="s">
        <v>4616</v>
      </c>
    </row>
    <row r="375" customHeight="1" spans="1:7">
      <c r="A375" t="s">
        <v>16</v>
      </c>
      <c r="B375" t="s">
        <v>4609</v>
      </c>
      <c r="C375" t="s">
        <v>4610</v>
      </c>
      <c r="D375" t="s">
        <v>4617</v>
      </c>
      <c r="E375" t="s">
        <v>4618</v>
      </c>
      <c r="F375" t="s">
        <v>3562</v>
      </c>
      <c r="G375" t="s">
        <v>4619</v>
      </c>
    </row>
    <row r="376" customHeight="1" spans="1:7">
      <c r="A376" t="s">
        <v>16</v>
      </c>
      <c r="B376" t="s">
        <v>4609</v>
      </c>
      <c r="C376" t="s">
        <v>4610</v>
      </c>
      <c r="D376" t="s">
        <v>4620</v>
      </c>
      <c r="E376" t="s">
        <v>4621</v>
      </c>
      <c r="F376" t="s">
        <v>3562</v>
      </c>
      <c r="G376" t="s">
        <v>4622</v>
      </c>
    </row>
    <row r="377" customHeight="1" spans="1:7">
      <c r="A377" t="s">
        <v>16</v>
      </c>
      <c r="B377" t="s">
        <v>4609</v>
      </c>
      <c r="C377" t="s">
        <v>4610</v>
      </c>
      <c r="D377" t="s">
        <v>4609</v>
      </c>
      <c r="E377" t="s">
        <v>4610</v>
      </c>
      <c r="F377" t="s">
        <v>3559</v>
      </c>
      <c r="G377" t="s">
        <v>4623</v>
      </c>
    </row>
    <row r="378" customHeight="1" spans="1:7">
      <c r="A378" t="s">
        <v>16</v>
      </c>
      <c r="B378" t="s">
        <v>4609</v>
      </c>
      <c r="C378" t="s">
        <v>4610</v>
      </c>
      <c r="D378" t="s">
        <v>4624</v>
      </c>
      <c r="E378" t="s">
        <v>4625</v>
      </c>
      <c r="F378" t="s">
        <v>3562</v>
      </c>
      <c r="G378" t="s">
        <v>4626</v>
      </c>
    </row>
    <row r="379" customHeight="1" spans="1:7">
      <c r="A379" t="s">
        <v>16</v>
      </c>
      <c r="B379" t="s">
        <v>4609</v>
      </c>
      <c r="C379" t="s">
        <v>4610</v>
      </c>
      <c r="D379" t="s">
        <v>4627</v>
      </c>
      <c r="E379" t="s">
        <v>4628</v>
      </c>
      <c r="F379" t="s">
        <v>3562</v>
      </c>
      <c r="G379" t="s">
        <v>4629</v>
      </c>
    </row>
    <row r="380" customHeight="1" spans="1:7">
      <c r="A380" t="s">
        <v>16</v>
      </c>
      <c r="B380" t="s">
        <v>4609</v>
      </c>
      <c r="C380" t="s">
        <v>4610</v>
      </c>
      <c r="D380" t="s">
        <v>4630</v>
      </c>
      <c r="E380" t="s">
        <v>4631</v>
      </c>
      <c r="F380" t="s">
        <v>3562</v>
      </c>
      <c r="G380" t="s">
        <v>4632</v>
      </c>
    </row>
    <row r="381" customHeight="1" spans="1:7">
      <c r="A381" t="s">
        <v>16</v>
      </c>
      <c r="B381" t="s">
        <v>4609</v>
      </c>
      <c r="C381" t="s">
        <v>4610</v>
      </c>
      <c r="D381" t="s">
        <v>4633</v>
      </c>
      <c r="E381" t="s">
        <v>4634</v>
      </c>
      <c r="F381" t="s">
        <v>3562</v>
      </c>
      <c r="G381" t="s">
        <v>4635</v>
      </c>
    </row>
    <row r="382" customHeight="1" spans="1:7">
      <c r="A382" t="s">
        <v>16</v>
      </c>
      <c r="B382" t="s">
        <v>4609</v>
      </c>
      <c r="C382" t="s">
        <v>4610</v>
      </c>
      <c r="D382" t="s">
        <v>4636</v>
      </c>
      <c r="E382" t="s">
        <v>4637</v>
      </c>
      <c r="F382" t="s">
        <v>3562</v>
      </c>
      <c r="G382" t="s">
        <v>4638</v>
      </c>
    </row>
    <row r="383" customHeight="1" spans="1:7">
      <c r="A383" t="s">
        <v>16</v>
      </c>
      <c r="B383" t="s">
        <v>4609</v>
      </c>
      <c r="C383" t="s">
        <v>4610</v>
      </c>
      <c r="D383" t="s">
        <v>4639</v>
      </c>
      <c r="E383" t="s">
        <v>4640</v>
      </c>
      <c r="F383" t="s">
        <v>3562</v>
      </c>
      <c r="G383" t="s">
        <v>4641</v>
      </c>
    </row>
    <row r="384" customHeight="1" spans="1:7">
      <c r="A384" t="s">
        <v>16</v>
      </c>
      <c r="B384" t="s">
        <v>4609</v>
      </c>
      <c r="C384" t="s">
        <v>4610</v>
      </c>
      <c r="D384" t="s">
        <v>4642</v>
      </c>
      <c r="E384" t="s">
        <v>4643</v>
      </c>
      <c r="F384" t="s">
        <v>3562</v>
      </c>
      <c r="G384" t="s">
        <v>4644</v>
      </c>
    </row>
    <row r="385" customHeight="1" spans="1:7">
      <c r="A385" t="s">
        <v>16</v>
      </c>
      <c r="B385" t="s">
        <v>4609</v>
      </c>
      <c r="C385" t="s">
        <v>4610</v>
      </c>
      <c r="D385" t="s">
        <v>4645</v>
      </c>
      <c r="E385" t="s">
        <v>4646</v>
      </c>
      <c r="F385" t="s">
        <v>3562</v>
      </c>
      <c r="G385" t="s">
        <v>4647</v>
      </c>
    </row>
    <row r="386" customHeight="1" spans="1:7">
      <c r="A386" t="s">
        <v>16</v>
      </c>
      <c r="B386" t="s">
        <v>4609</v>
      </c>
      <c r="C386" t="s">
        <v>4610</v>
      </c>
      <c r="D386" t="s">
        <v>4648</v>
      </c>
      <c r="E386" t="s">
        <v>4649</v>
      </c>
      <c r="F386" t="s">
        <v>3562</v>
      </c>
      <c r="G386" t="s">
        <v>4650</v>
      </c>
    </row>
    <row r="387" customHeight="1" spans="1:7">
      <c r="A387" t="s">
        <v>16</v>
      </c>
      <c r="B387" t="s">
        <v>4609</v>
      </c>
      <c r="C387" t="s">
        <v>4610</v>
      </c>
      <c r="D387" t="s">
        <v>4651</v>
      </c>
      <c r="E387" t="s">
        <v>4652</v>
      </c>
      <c r="F387" t="s">
        <v>3562</v>
      </c>
      <c r="G387" t="s">
        <v>4653</v>
      </c>
    </row>
    <row r="388" customHeight="1" spans="1:7">
      <c r="A388" t="s">
        <v>16</v>
      </c>
      <c r="B388" t="s">
        <v>4609</v>
      </c>
      <c r="C388" t="s">
        <v>4610</v>
      </c>
      <c r="D388" t="s">
        <v>4654</v>
      </c>
      <c r="E388" t="s">
        <v>4655</v>
      </c>
      <c r="F388" t="s">
        <v>3562</v>
      </c>
      <c r="G388" t="s">
        <v>4656</v>
      </c>
    </row>
    <row r="389" customHeight="1" spans="1:7">
      <c r="A389" t="s">
        <v>16</v>
      </c>
      <c r="B389" t="s">
        <v>4609</v>
      </c>
      <c r="C389" t="s">
        <v>4610</v>
      </c>
      <c r="D389" t="s">
        <v>4657</v>
      </c>
      <c r="E389" t="s">
        <v>4658</v>
      </c>
      <c r="F389" t="s">
        <v>3562</v>
      </c>
      <c r="G389" t="s">
        <v>4659</v>
      </c>
    </row>
    <row r="390" customHeight="1" spans="1:7">
      <c r="A390" t="s">
        <v>16</v>
      </c>
      <c r="B390" t="s">
        <v>4609</v>
      </c>
      <c r="C390" t="s">
        <v>4610</v>
      </c>
      <c r="D390" t="s">
        <v>4660</v>
      </c>
      <c r="E390" t="s">
        <v>4661</v>
      </c>
      <c r="F390" t="s">
        <v>3562</v>
      </c>
      <c r="G390" t="s">
        <v>4662</v>
      </c>
    </row>
    <row r="391" customHeight="1" spans="1:7">
      <c r="A391" t="s">
        <v>16</v>
      </c>
      <c r="B391" t="s">
        <v>4609</v>
      </c>
      <c r="C391" t="s">
        <v>4610</v>
      </c>
      <c r="D391" t="s">
        <v>4663</v>
      </c>
      <c r="E391" t="s">
        <v>4664</v>
      </c>
      <c r="F391" t="s">
        <v>3562</v>
      </c>
      <c r="G391" t="s">
        <v>4665</v>
      </c>
    </row>
    <row r="392" customHeight="1" spans="1:7">
      <c r="A392" t="s">
        <v>16</v>
      </c>
      <c r="B392" t="s">
        <v>4609</v>
      </c>
      <c r="C392" t="s">
        <v>4610</v>
      </c>
      <c r="D392" t="s">
        <v>4666</v>
      </c>
      <c r="E392" t="s">
        <v>4667</v>
      </c>
      <c r="F392" t="s">
        <v>3562</v>
      </c>
      <c r="G392" t="s">
        <v>4668</v>
      </c>
    </row>
    <row r="393" customHeight="1" spans="1:7">
      <c r="A393" t="s">
        <v>16</v>
      </c>
      <c r="B393" t="s">
        <v>101</v>
      </c>
      <c r="C393" t="s">
        <v>4669</v>
      </c>
      <c r="D393" t="s">
        <v>3937</v>
      </c>
      <c r="E393" t="s">
        <v>4670</v>
      </c>
      <c r="F393" t="s">
        <v>3562</v>
      </c>
      <c r="G393" t="s">
        <v>4671</v>
      </c>
    </row>
    <row r="394" customHeight="1" spans="1:7">
      <c r="A394" t="s">
        <v>16</v>
      </c>
      <c r="B394" t="s">
        <v>101</v>
      </c>
      <c r="C394" t="s">
        <v>4669</v>
      </c>
      <c r="D394" t="s">
        <v>4672</v>
      </c>
      <c r="E394" t="s">
        <v>4673</v>
      </c>
      <c r="F394" t="s">
        <v>3562</v>
      </c>
      <c r="G394" t="s">
        <v>4674</v>
      </c>
    </row>
    <row r="395" customHeight="1" spans="1:7">
      <c r="A395" t="s">
        <v>16</v>
      </c>
      <c r="B395" t="s">
        <v>101</v>
      </c>
      <c r="C395" t="s">
        <v>4669</v>
      </c>
      <c r="D395" t="s">
        <v>4675</v>
      </c>
      <c r="E395" t="s">
        <v>4676</v>
      </c>
      <c r="F395" t="s">
        <v>3562</v>
      </c>
      <c r="G395" t="s">
        <v>4677</v>
      </c>
    </row>
    <row r="396" customHeight="1" spans="1:7">
      <c r="A396" t="s">
        <v>16</v>
      </c>
      <c r="B396" t="s">
        <v>101</v>
      </c>
      <c r="C396" t="s">
        <v>4669</v>
      </c>
      <c r="D396" t="s">
        <v>4678</v>
      </c>
      <c r="E396" t="s">
        <v>4679</v>
      </c>
      <c r="F396" t="s">
        <v>3562</v>
      </c>
      <c r="G396" t="s">
        <v>4680</v>
      </c>
    </row>
    <row r="397" customHeight="1" spans="1:7">
      <c r="A397" t="s">
        <v>16</v>
      </c>
      <c r="B397" t="s">
        <v>101</v>
      </c>
      <c r="C397" t="s">
        <v>4669</v>
      </c>
      <c r="D397" t="s">
        <v>4681</v>
      </c>
      <c r="E397" t="s">
        <v>4682</v>
      </c>
      <c r="F397" t="s">
        <v>3562</v>
      </c>
      <c r="G397" t="s">
        <v>4683</v>
      </c>
    </row>
    <row r="398" customHeight="1" spans="1:7">
      <c r="A398" t="s">
        <v>16</v>
      </c>
      <c r="B398" t="s">
        <v>101</v>
      </c>
      <c r="C398" t="s">
        <v>4669</v>
      </c>
      <c r="D398" t="s">
        <v>102</v>
      </c>
      <c r="E398" t="s">
        <v>103</v>
      </c>
      <c r="F398" t="s">
        <v>3567</v>
      </c>
      <c r="G398" t="s">
        <v>100</v>
      </c>
    </row>
    <row r="399" customHeight="1" spans="1:7">
      <c r="A399" t="s">
        <v>16</v>
      </c>
      <c r="B399" t="s">
        <v>101</v>
      </c>
      <c r="C399" t="s">
        <v>4669</v>
      </c>
      <c r="D399" t="s">
        <v>101</v>
      </c>
      <c r="E399" t="s">
        <v>4669</v>
      </c>
      <c r="F399" t="s">
        <v>3559</v>
      </c>
      <c r="G399" t="s">
        <v>4684</v>
      </c>
    </row>
    <row r="400" customHeight="1" spans="1:7">
      <c r="A400" t="s">
        <v>16</v>
      </c>
      <c r="B400" t="s">
        <v>101</v>
      </c>
      <c r="C400" t="s">
        <v>4669</v>
      </c>
      <c r="D400" t="s">
        <v>4685</v>
      </c>
      <c r="E400" t="s">
        <v>4686</v>
      </c>
      <c r="F400" t="s">
        <v>3562</v>
      </c>
      <c r="G400" t="s">
        <v>4687</v>
      </c>
    </row>
    <row r="401" customHeight="1" spans="1:7">
      <c r="A401" t="s">
        <v>16</v>
      </c>
      <c r="B401" t="s">
        <v>101</v>
      </c>
      <c r="C401" t="s">
        <v>4669</v>
      </c>
      <c r="D401" t="s">
        <v>4688</v>
      </c>
      <c r="E401" t="s">
        <v>4689</v>
      </c>
      <c r="F401" t="s">
        <v>3562</v>
      </c>
      <c r="G401" t="s">
        <v>4690</v>
      </c>
    </row>
    <row r="402" customHeight="1" spans="1:7">
      <c r="A402" t="s">
        <v>16</v>
      </c>
      <c r="B402" t="s">
        <v>101</v>
      </c>
      <c r="C402" t="s">
        <v>4669</v>
      </c>
      <c r="D402" t="s">
        <v>4691</v>
      </c>
      <c r="E402" t="s">
        <v>4692</v>
      </c>
      <c r="F402" t="s">
        <v>3562</v>
      </c>
      <c r="G402" t="s">
        <v>4693</v>
      </c>
    </row>
    <row r="403" customHeight="1" spans="1:7">
      <c r="A403" t="s">
        <v>16</v>
      </c>
      <c r="B403" t="s">
        <v>101</v>
      </c>
      <c r="C403" t="s">
        <v>4669</v>
      </c>
      <c r="D403" t="s">
        <v>4694</v>
      </c>
      <c r="E403" t="s">
        <v>4695</v>
      </c>
      <c r="F403" t="s">
        <v>3562</v>
      </c>
      <c r="G403" t="s">
        <v>4696</v>
      </c>
    </row>
    <row r="404" customHeight="1" spans="1:7">
      <c r="A404" t="s">
        <v>16</v>
      </c>
      <c r="B404" t="s">
        <v>101</v>
      </c>
      <c r="C404" t="s">
        <v>4669</v>
      </c>
      <c r="D404" t="s">
        <v>4697</v>
      </c>
      <c r="E404" t="s">
        <v>4698</v>
      </c>
      <c r="F404" t="s">
        <v>3562</v>
      </c>
      <c r="G404" t="s">
        <v>4699</v>
      </c>
    </row>
    <row r="405" customHeight="1" spans="1:7">
      <c r="A405" t="s">
        <v>16</v>
      </c>
      <c r="B405" t="s">
        <v>101</v>
      </c>
      <c r="C405" t="s">
        <v>4669</v>
      </c>
      <c r="D405" t="s">
        <v>4700</v>
      </c>
      <c r="E405" t="s">
        <v>4701</v>
      </c>
      <c r="F405" t="s">
        <v>3562</v>
      </c>
      <c r="G405" t="s">
        <v>4702</v>
      </c>
    </row>
    <row r="406" customHeight="1" spans="1:7">
      <c r="A406" t="s">
        <v>16</v>
      </c>
      <c r="B406" t="s">
        <v>101</v>
      </c>
      <c r="C406" t="s">
        <v>4669</v>
      </c>
      <c r="D406" t="s">
        <v>4703</v>
      </c>
      <c r="E406" t="s">
        <v>4704</v>
      </c>
      <c r="F406" t="s">
        <v>3562</v>
      </c>
      <c r="G406" t="s">
        <v>4705</v>
      </c>
    </row>
    <row r="407" customHeight="1" spans="1:7">
      <c r="A407" t="s">
        <v>16</v>
      </c>
      <c r="B407" t="s">
        <v>101</v>
      </c>
      <c r="C407" t="s">
        <v>4669</v>
      </c>
      <c r="D407" t="s">
        <v>4706</v>
      </c>
      <c r="E407" t="s">
        <v>4707</v>
      </c>
      <c r="F407" t="s">
        <v>3562</v>
      </c>
      <c r="G407" t="s">
        <v>4708</v>
      </c>
    </row>
    <row r="408" customHeight="1" spans="1:7">
      <c r="A408" t="s">
        <v>16</v>
      </c>
      <c r="B408" t="s">
        <v>101</v>
      </c>
      <c r="C408" t="s">
        <v>4669</v>
      </c>
      <c r="D408" t="s">
        <v>4709</v>
      </c>
      <c r="E408" t="s">
        <v>4710</v>
      </c>
      <c r="F408" t="s">
        <v>3562</v>
      </c>
      <c r="G408" t="s">
        <v>4711</v>
      </c>
    </row>
    <row r="409" customHeight="1" spans="1:7">
      <c r="A409" t="s">
        <v>16</v>
      </c>
      <c r="B409" t="s">
        <v>101</v>
      </c>
      <c r="C409" t="s">
        <v>4669</v>
      </c>
      <c r="D409" t="s">
        <v>4712</v>
      </c>
      <c r="E409" t="s">
        <v>4713</v>
      </c>
      <c r="F409" t="s">
        <v>3562</v>
      </c>
      <c r="G409" t="s">
        <v>4714</v>
      </c>
    </row>
    <row r="410" customHeight="1" spans="1:7">
      <c r="A410" t="s">
        <v>16</v>
      </c>
      <c r="B410" t="s">
        <v>4715</v>
      </c>
      <c r="C410" t="s">
        <v>4716</v>
      </c>
      <c r="D410" t="s">
        <v>4717</v>
      </c>
      <c r="E410" t="s">
        <v>4718</v>
      </c>
      <c r="F410" t="s">
        <v>3562</v>
      </c>
      <c r="G410" t="s">
        <v>4719</v>
      </c>
    </row>
    <row r="411" customHeight="1" spans="1:7">
      <c r="A411" t="s">
        <v>16</v>
      </c>
      <c r="B411" t="s">
        <v>4715</v>
      </c>
      <c r="C411" t="s">
        <v>4716</v>
      </c>
      <c r="D411" t="s">
        <v>4720</v>
      </c>
      <c r="E411" t="s">
        <v>4721</v>
      </c>
      <c r="F411" t="s">
        <v>3562</v>
      </c>
      <c r="G411" t="s">
        <v>4722</v>
      </c>
    </row>
    <row r="412" customHeight="1" spans="1:7">
      <c r="A412" t="s">
        <v>16</v>
      </c>
      <c r="B412" t="s">
        <v>4715</v>
      </c>
      <c r="C412" t="s">
        <v>4716</v>
      </c>
      <c r="D412" t="s">
        <v>4723</v>
      </c>
      <c r="E412" t="s">
        <v>4724</v>
      </c>
      <c r="F412" t="s">
        <v>3562</v>
      </c>
      <c r="G412" t="s">
        <v>4725</v>
      </c>
    </row>
    <row r="413" customHeight="1" spans="1:7">
      <c r="A413" t="s">
        <v>16</v>
      </c>
      <c r="B413" t="s">
        <v>4715</v>
      </c>
      <c r="C413" t="s">
        <v>4716</v>
      </c>
      <c r="D413" t="s">
        <v>4726</v>
      </c>
      <c r="E413" t="s">
        <v>4727</v>
      </c>
      <c r="F413" t="s">
        <v>3562</v>
      </c>
      <c r="G413" t="s">
        <v>4728</v>
      </c>
    </row>
    <row r="414" customHeight="1" spans="1:7">
      <c r="A414" t="s">
        <v>16</v>
      </c>
      <c r="B414" t="s">
        <v>4715</v>
      </c>
      <c r="C414" t="s">
        <v>4716</v>
      </c>
      <c r="D414" t="s">
        <v>4729</v>
      </c>
      <c r="E414" t="s">
        <v>4730</v>
      </c>
      <c r="F414" t="s">
        <v>3562</v>
      </c>
      <c r="G414" t="s">
        <v>4731</v>
      </c>
    </row>
    <row r="415" customHeight="1" spans="1:7">
      <c r="A415" t="s">
        <v>16</v>
      </c>
      <c r="B415" t="s">
        <v>4715</v>
      </c>
      <c r="C415" t="s">
        <v>4716</v>
      </c>
      <c r="D415" t="s">
        <v>4732</v>
      </c>
      <c r="E415" t="s">
        <v>4733</v>
      </c>
      <c r="F415" t="s">
        <v>3562</v>
      </c>
      <c r="G415" t="s">
        <v>4734</v>
      </c>
    </row>
    <row r="416" customHeight="1" spans="1:7">
      <c r="A416" t="s">
        <v>16</v>
      </c>
      <c r="B416" t="s">
        <v>4715</v>
      </c>
      <c r="C416" t="s">
        <v>4716</v>
      </c>
      <c r="D416" t="s">
        <v>4735</v>
      </c>
      <c r="E416" t="s">
        <v>4736</v>
      </c>
      <c r="F416" t="s">
        <v>3562</v>
      </c>
      <c r="G416" t="s">
        <v>4737</v>
      </c>
    </row>
    <row r="417" customHeight="1" spans="1:7">
      <c r="A417" t="s">
        <v>16</v>
      </c>
      <c r="B417" t="s">
        <v>4715</v>
      </c>
      <c r="C417" t="s">
        <v>4716</v>
      </c>
      <c r="D417" t="s">
        <v>4738</v>
      </c>
      <c r="E417" t="s">
        <v>4739</v>
      </c>
      <c r="F417" t="s">
        <v>3562</v>
      </c>
      <c r="G417" t="s">
        <v>4740</v>
      </c>
    </row>
    <row r="418" customHeight="1" spans="1:7">
      <c r="A418" t="s">
        <v>16</v>
      </c>
      <c r="B418" t="s">
        <v>4715</v>
      </c>
      <c r="C418" t="s">
        <v>4716</v>
      </c>
      <c r="D418" t="s">
        <v>4741</v>
      </c>
      <c r="E418" t="s">
        <v>4742</v>
      </c>
      <c r="F418" t="s">
        <v>3567</v>
      </c>
      <c r="G418" t="s">
        <v>4743</v>
      </c>
    </row>
    <row r="419" customHeight="1" spans="1:7">
      <c r="A419" t="s">
        <v>16</v>
      </c>
      <c r="B419" t="s">
        <v>4715</v>
      </c>
      <c r="C419" t="s">
        <v>4716</v>
      </c>
      <c r="D419" t="s">
        <v>4744</v>
      </c>
      <c r="E419" t="s">
        <v>4745</v>
      </c>
      <c r="F419" t="s">
        <v>3562</v>
      </c>
      <c r="G419" t="s">
        <v>4746</v>
      </c>
    </row>
    <row r="420" customHeight="1" spans="1:7">
      <c r="A420" t="s">
        <v>16</v>
      </c>
      <c r="B420" t="s">
        <v>4715</v>
      </c>
      <c r="C420" t="s">
        <v>4716</v>
      </c>
      <c r="D420" t="s">
        <v>4747</v>
      </c>
      <c r="E420" t="s">
        <v>4748</v>
      </c>
      <c r="F420" t="s">
        <v>3562</v>
      </c>
      <c r="G420" t="s">
        <v>4749</v>
      </c>
    </row>
    <row r="421" customHeight="1" spans="1:7">
      <c r="A421" t="s">
        <v>16</v>
      </c>
      <c r="B421" t="s">
        <v>4715</v>
      </c>
      <c r="C421" t="s">
        <v>4716</v>
      </c>
      <c r="D421" t="s">
        <v>4715</v>
      </c>
      <c r="E421" t="s">
        <v>4716</v>
      </c>
      <c r="F421" t="s">
        <v>3559</v>
      </c>
      <c r="G421" t="s">
        <v>4750</v>
      </c>
    </row>
    <row r="422" customHeight="1" spans="1:7">
      <c r="A422" t="s">
        <v>16</v>
      </c>
      <c r="B422" t="s">
        <v>4715</v>
      </c>
      <c r="C422" t="s">
        <v>4716</v>
      </c>
      <c r="D422" t="s">
        <v>4751</v>
      </c>
      <c r="E422" t="s">
        <v>4752</v>
      </c>
      <c r="F422" t="s">
        <v>3562</v>
      </c>
      <c r="G422" t="s">
        <v>4753</v>
      </c>
    </row>
    <row r="423" customHeight="1" spans="1:7">
      <c r="A423" t="s">
        <v>16</v>
      </c>
      <c r="B423" t="s">
        <v>4715</v>
      </c>
      <c r="C423" t="s">
        <v>4716</v>
      </c>
      <c r="D423" t="s">
        <v>4754</v>
      </c>
      <c r="E423" t="s">
        <v>4755</v>
      </c>
      <c r="F423" t="s">
        <v>3562</v>
      </c>
      <c r="G423" t="s">
        <v>4756</v>
      </c>
    </row>
    <row r="424" customHeight="1" spans="1:7">
      <c r="A424" t="s">
        <v>16</v>
      </c>
      <c r="B424" t="s">
        <v>4715</v>
      </c>
      <c r="C424" t="s">
        <v>4716</v>
      </c>
      <c r="D424" t="s">
        <v>4757</v>
      </c>
      <c r="E424" t="s">
        <v>4758</v>
      </c>
      <c r="F424" t="s">
        <v>3562</v>
      </c>
      <c r="G424" t="s">
        <v>4759</v>
      </c>
    </row>
    <row r="425" customHeight="1" spans="1:7">
      <c r="A425" t="s">
        <v>16</v>
      </c>
      <c r="B425" t="s">
        <v>4715</v>
      </c>
      <c r="C425" t="s">
        <v>4716</v>
      </c>
      <c r="D425" t="s">
        <v>4229</v>
      </c>
      <c r="E425" t="s">
        <v>4760</v>
      </c>
      <c r="F425" t="s">
        <v>3562</v>
      </c>
      <c r="G425" t="s">
        <v>4761</v>
      </c>
    </row>
    <row r="426" customHeight="1" spans="1:7">
      <c r="A426" t="s">
        <v>16</v>
      </c>
      <c r="B426" t="s">
        <v>4715</v>
      </c>
      <c r="C426" t="s">
        <v>4716</v>
      </c>
      <c r="D426" t="s">
        <v>4762</v>
      </c>
      <c r="E426" t="s">
        <v>4763</v>
      </c>
      <c r="F426" t="s">
        <v>3562</v>
      </c>
      <c r="G426" t="s">
        <v>4764</v>
      </c>
    </row>
    <row r="427" customHeight="1" spans="1:7">
      <c r="A427" t="s">
        <v>16</v>
      </c>
      <c r="B427" t="s">
        <v>4715</v>
      </c>
      <c r="C427" t="s">
        <v>4716</v>
      </c>
      <c r="D427" t="s">
        <v>4765</v>
      </c>
      <c r="E427" t="s">
        <v>4766</v>
      </c>
      <c r="F427" t="s">
        <v>3562</v>
      </c>
      <c r="G427" t="s">
        <v>4767</v>
      </c>
    </row>
    <row r="428" customHeight="1" spans="1:7">
      <c r="A428" t="s">
        <v>16</v>
      </c>
      <c r="B428" t="s">
        <v>4715</v>
      </c>
      <c r="C428" t="s">
        <v>4716</v>
      </c>
      <c r="D428" t="s">
        <v>4768</v>
      </c>
      <c r="E428" t="s">
        <v>4769</v>
      </c>
      <c r="F428" t="s">
        <v>3562</v>
      </c>
      <c r="G428" t="s">
        <v>4770</v>
      </c>
    </row>
    <row r="429" customHeight="1" spans="1:7">
      <c r="A429" t="s">
        <v>16</v>
      </c>
      <c r="B429" t="s">
        <v>4715</v>
      </c>
      <c r="C429" t="s">
        <v>4716</v>
      </c>
      <c r="D429" t="s">
        <v>4771</v>
      </c>
      <c r="E429" t="s">
        <v>4772</v>
      </c>
      <c r="F429" t="s">
        <v>3562</v>
      </c>
      <c r="G429" t="s">
        <v>4773</v>
      </c>
    </row>
    <row r="430" customHeight="1" spans="1:7">
      <c r="A430" t="s">
        <v>16</v>
      </c>
      <c r="B430" t="s">
        <v>4715</v>
      </c>
      <c r="C430" t="s">
        <v>4716</v>
      </c>
      <c r="D430" t="s">
        <v>4774</v>
      </c>
      <c r="E430" t="s">
        <v>4775</v>
      </c>
      <c r="F430" t="s">
        <v>3562</v>
      </c>
      <c r="G430" t="s">
        <v>4776</v>
      </c>
    </row>
    <row r="431" customHeight="1" spans="1:7">
      <c r="A431" t="s">
        <v>16</v>
      </c>
      <c r="B431" t="s">
        <v>4715</v>
      </c>
      <c r="C431" t="s">
        <v>4716</v>
      </c>
      <c r="D431" t="s">
        <v>4777</v>
      </c>
      <c r="E431" t="s">
        <v>4778</v>
      </c>
      <c r="F431" t="s">
        <v>3562</v>
      </c>
      <c r="G431" t="s">
        <v>4779</v>
      </c>
    </row>
    <row r="432" customHeight="1" spans="1:7">
      <c r="A432" t="s">
        <v>16</v>
      </c>
      <c r="B432" t="s">
        <v>4715</v>
      </c>
      <c r="C432" t="s">
        <v>4716</v>
      </c>
      <c r="D432" t="s">
        <v>3652</v>
      </c>
      <c r="E432" t="s">
        <v>4780</v>
      </c>
      <c r="F432" t="s">
        <v>3562</v>
      </c>
      <c r="G432" t="s">
        <v>4781</v>
      </c>
    </row>
    <row r="433" customHeight="1" spans="1:7">
      <c r="A433" t="s">
        <v>16</v>
      </c>
      <c r="B433" t="s">
        <v>4715</v>
      </c>
      <c r="C433" t="s">
        <v>4716</v>
      </c>
      <c r="D433" t="s">
        <v>4782</v>
      </c>
      <c r="E433" t="s">
        <v>4783</v>
      </c>
      <c r="F433" t="s">
        <v>3562</v>
      </c>
      <c r="G433" t="s">
        <v>4784</v>
      </c>
    </row>
    <row r="434" customHeight="1" spans="1:7">
      <c r="A434" t="s">
        <v>16</v>
      </c>
      <c r="B434" t="s">
        <v>4785</v>
      </c>
      <c r="C434" t="s">
        <v>4786</v>
      </c>
      <c r="D434" t="s">
        <v>4787</v>
      </c>
      <c r="E434" t="s">
        <v>4788</v>
      </c>
      <c r="F434" t="s">
        <v>3562</v>
      </c>
      <c r="G434" t="s">
        <v>4789</v>
      </c>
    </row>
    <row r="435" customHeight="1" spans="1:7">
      <c r="A435" t="s">
        <v>16</v>
      </c>
      <c r="B435" t="s">
        <v>4785</v>
      </c>
      <c r="C435" t="s">
        <v>4786</v>
      </c>
      <c r="D435" t="s">
        <v>4790</v>
      </c>
      <c r="E435" t="s">
        <v>4791</v>
      </c>
      <c r="F435" t="s">
        <v>3562</v>
      </c>
      <c r="G435" t="s">
        <v>4792</v>
      </c>
    </row>
    <row r="436" customHeight="1" spans="1:7">
      <c r="A436" t="s">
        <v>16</v>
      </c>
      <c r="B436" t="s">
        <v>4785</v>
      </c>
      <c r="C436" t="s">
        <v>4786</v>
      </c>
      <c r="D436" t="s">
        <v>4793</v>
      </c>
      <c r="E436" t="s">
        <v>4794</v>
      </c>
      <c r="F436" t="s">
        <v>3562</v>
      </c>
      <c r="G436" t="s">
        <v>4795</v>
      </c>
    </row>
    <row r="437" customHeight="1" spans="1:7">
      <c r="A437" t="s">
        <v>16</v>
      </c>
      <c r="B437" t="s">
        <v>4785</v>
      </c>
      <c r="C437" t="s">
        <v>4786</v>
      </c>
      <c r="D437" t="s">
        <v>4796</v>
      </c>
      <c r="E437" t="s">
        <v>4797</v>
      </c>
      <c r="F437" t="s">
        <v>3562</v>
      </c>
      <c r="G437" t="s">
        <v>4798</v>
      </c>
    </row>
    <row r="438" customHeight="1" spans="1:7">
      <c r="A438" t="s">
        <v>16</v>
      </c>
      <c r="B438" t="s">
        <v>4785</v>
      </c>
      <c r="C438" t="s">
        <v>4786</v>
      </c>
      <c r="D438" t="s">
        <v>4799</v>
      </c>
      <c r="E438" t="s">
        <v>4800</v>
      </c>
      <c r="F438" t="s">
        <v>3562</v>
      </c>
      <c r="G438" t="s">
        <v>4801</v>
      </c>
    </row>
    <row r="439" customHeight="1" spans="1:7">
      <c r="A439" t="s">
        <v>16</v>
      </c>
      <c r="B439" t="s">
        <v>4785</v>
      </c>
      <c r="C439" t="s">
        <v>4786</v>
      </c>
      <c r="D439" t="s">
        <v>4802</v>
      </c>
      <c r="E439" t="s">
        <v>4803</v>
      </c>
      <c r="F439" t="s">
        <v>3562</v>
      </c>
      <c r="G439" t="s">
        <v>4804</v>
      </c>
    </row>
    <row r="440" customHeight="1" spans="1:7">
      <c r="A440" t="s">
        <v>16</v>
      </c>
      <c r="B440" t="s">
        <v>4785</v>
      </c>
      <c r="C440" t="s">
        <v>4786</v>
      </c>
      <c r="D440" t="s">
        <v>4805</v>
      </c>
      <c r="E440" t="s">
        <v>4806</v>
      </c>
      <c r="F440" t="s">
        <v>3562</v>
      </c>
      <c r="G440" t="s">
        <v>4807</v>
      </c>
    </row>
    <row r="441" customHeight="1" spans="1:7">
      <c r="A441" t="s">
        <v>16</v>
      </c>
      <c r="B441" t="s">
        <v>4785</v>
      </c>
      <c r="C441" t="s">
        <v>4786</v>
      </c>
      <c r="D441" t="s">
        <v>4808</v>
      </c>
      <c r="E441" t="s">
        <v>4809</v>
      </c>
      <c r="F441" t="s">
        <v>3562</v>
      </c>
      <c r="G441" t="s">
        <v>4810</v>
      </c>
    </row>
    <row r="442" customHeight="1" spans="1:7">
      <c r="A442" t="s">
        <v>16</v>
      </c>
      <c r="B442" t="s">
        <v>4785</v>
      </c>
      <c r="C442" t="s">
        <v>4786</v>
      </c>
      <c r="D442" t="s">
        <v>4811</v>
      </c>
      <c r="E442" t="s">
        <v>4812</v>
      </c>
      <c r="F442" t="s">
        <v>3567</v>
      </c>
      <c r="G442" t="s">
        <v>4813</v>
      </c>
    </row>
    <row r="443" customHeight="1" spans="1:7">
      <c r="A443" t="s">
        <v>16</v>
      </c>
      <c r="B443" t="s">
        <v>4785</v>
      </c>
      <c r="C443" t="s">
        <v>4786</v>
      </c>
      <c r="D443" t="s">
        <v>4785</v>
      </c>
      <c r="E443" t="s">
        <v>4786</v>
      </c>
      <c r="F443" t="s">
        <v>3559</v>
      </c>
      <c r="G443" t="s">
        <v>4814</v>
      </c>
    </row>
    <row r="444" customHeight="1" spans="1:7">
      <c r="A444" t="s">
        <v>16</v>
      </c>
      <c r="B444" t="s">
        <v>4785</v>
      </c>
      <c r="C444" t="s">
        <v>4786</v>
      </c>
      <c r="D444" t="s">
        <v>4815</v>
      </c>
      <c r="E444" t="s">
        <v>4816</v>
      </c>
      <c r="F444" t="s">
        <v>3562</v>
      </c>
      <c r="G444" t="s">
        <v>4817</v>
      </c>
    </row>
    <row r="445" customHeight="1" spans="1:7">
      <c r="A445" t="s">
        <v>16</v>
      </c>
      <c r="B445" t="s">
        <v>4785</v>
      </c>
      <c r="C445" t="s">
        <v>4786</v>
      </c>
      <c r="D445" t="s">
        <v>4818</v>
      </c>
      <c r="E445" t="s">
        <v>4819</v>
      </c>
      <c r="F445" t="s">
        <v>3562</v>
      </c>
      <c r="G445" t="s">
        <v>4820</v>
      </c>
    </row>
    <row r="446" customHeight="1" spans="1:7">
      <c r="A446" t="s">
        <v>16</v>
      </c>
      <c r="B446" t="s">
        <v>4785</v>
      </c>
      <c r="C446" t="s">
        <v>4786</v>
      </c>
      <c r="D446" t="s">
        <v>4821</v>
      </c>
      <c r="E446" t="s">
        <v>4822</v>
      </c>
      <c r="F446" t="s">
        <v>3562</v>
      </c>
      <c r="G446" t="s">
        <v>4823</v>
      </c>
    </row>
    <row r="447" customHeight="1" spans="1:7">
      <c r="A447" t="s">
        <v>16</v>
      </c>
      <c r="B447" t="s">
        <v>4785</v>
      </c>
      <c r="C447" t="s">
        <v>4786</v>
      </c>
      <c r="D447" t="s">
        <v>4824</v>
      </c>
      <c r="E447" t="s">
        <v>4825</v>
      </c>
      <c r="F447" t="s">
        <v>3562</v>
      </c>
      <c r="G447" t="s">
        <v>4826</v>
      </c>
    </row>
    <row r="448" customHeight="1" spans="1:7">
      <c r="A448" t="s">
        <v>16</v>
      </c>
      <c r="B448" t="s">
        <v>4785</v>
      </c>
      <c r="C448" t="s">
        <v>4786</v>
      </c>
      <c r="D448" t="s">
        <v>4827</v>
      </c>
      <c r="E448" t="s">
        <v>4828</v>
      </c>
      <c r="F448" t="s">
        <v>3562</v>
      </c>
      <c r="G448" t="s">
        <v>4829</v>
      </c>
    </row>
    <row r="449" customHeight="1" spans="1:7">
      <c r="A449" t="s">
        <v>16</v>
      </c>
      <c r="B449" t="s">
        <v>4785</v>
      </c>
      <c r="C449" t="s">
        <v>4786</v>
      </c>
      <c r="D449" t="s">
        <v>4830</v>
      </c>
      <c r="E449" t="s">
        <v>4831</v>
      </c>
      <c r="F449" t="s">
        <v>3562</v>
      </c>
      <c r="G449" t="s">
        <v>4832</v>
      </c>
    </row>
    <row r="450" customHeight="1" spans="1:7">
      <c r="A450" t="s">
        <v>16</v>
      </c>
      <c r="B450" t="s">
        <v>4785</v>
      </c>
      <c r="C450" t="s">
        <v>4786</v>
      </c>
      <c r="D450" t="s">
        <v>4429</v>
      </c>
      <c r="E450" t="s">
        <v>4833</v>
      </c>
      <c r="F450" t="s">
        <v>3562</v>
      </c>
      <c r="G450" t="s">
        <v>4834</v>
      </c>
    </row>
    <row r="451" customHeight="1" spans="1:7">
      <c r="A451" t="s">
        <v>16</v>
      </c>
      <c r="B451" t="s">
        <v>4785</v>
      </c>
      <c r="C451" t="s">
        <v>4786</v>
      </c>
      <c r="D451" t="s">
        <v>4506</v>
      </c>
      <c r="E451" t="s">
        <v>4835</v>
      </c>
      <c r="F451" t="s">
        <v>3562</v>
      </c>
      <c r="G451" t="s">
        <v>4836</v>
      </c>
    </row>
    <row r="452" customHeight="1" spans="1:7">
      <c r="A452" t="s">
        <v>16</v>
      </c>
      <c r="B452" t="s">
        <v>4785</v>
      </c>
      <c r="C452" t="s">
        <v>4786</v>
      </c>
      <c r="D452" t="s">
        <v>4837</v>
      </c>
      <c r="E452" t="s">
        <v>4838</v>
      </c>
      <c r="F452" t="s">
        <v>3562</v>
      </c>
      <c r="G452" t="s">
        <v>4839</v>
      </c>
    </row>
    <row r="453" customHeight="1" spans="1:7">
      <c r="A453" t="s">
        <v>16</v>
      </c>
      <c r="B453" t="s">
        <v>4785</v>
      </c>
      <c r="C453" t="s">
        <v>4786</v>
      </c>
      <c r="D453" t="s">
        <v>4840</v>
      </c>
      <c r="E453" t="s">
        <v>4841</v>
      </c>
      <c r="F453" t="s">
        <v>3562</v>
      </c>
      <c r="G453" t="s">
        <v>4842</v>
      </c>
    </row>
    <row r="454" customHeight="1" spans="1:7">
      <c r="A454" t="s">
        <v>16</v>
      </c>
      <c r="B454" t="s">
        <v>4785</v>
      </c>
      <c r="C454" t="s">
        <v>4786</v>
      </c>
      <c r="D454" t="s">
        <v>4843</v>
      </c>
      <c r="E454" t="s">
        <v>4844</v>
      </c>
      <c r="F454" t="s">
        <v>3562</v>
      </c>
      <c r="G454" t="s">
        <v>4845</v>
      </c>
    </row>
    <row r="455" customHeight="1" spans="1:7">
      <c r="A455" t="s">
        <v>16</v>
      </c>
      <c r="B455" t="s">
        <v>4785</v>
      </c>
      <c r="C455" t="s">
        <v>4786</v>
      </c>
      <c r="D455" t="s">
        <v>4846</v>
      </c>
      <c r="E455" t="s">
        <v>4847</v>
      </c>
      <c r="F455" t="s">
        <v>3562</v>
      </c>
      <c r="G455" t="s">
        <v>4848</v>
      </c>
    </row>
    <row r="456" customHeight="1" spans="1:7">
      <c r="A456" t="s">
        <v>16</v>
      </c>
      <c r="B456" t="s">
        <v>4785</v>
      </c>
      <c r="C456" t="s">
        <v>4786</v>
      </c>
      <c r="D456" t="s">
        <v>4849</v>
      </c>
      <c r="E456" t="s">
        <v>4850</v>
      </c>
      <c r="F456" t="s">
        <v>3562</v>
      </c>
      <c r="G456" t="s">
        <v>4851</v>
      </c>
    </row>
    <row r="457" customHeight="1" spans="1:7">
      <c r="A457" t="s">
        <v>16</v>
      </c>
      <c r="B457" t="s">
        <v>4785</v>
      </c>
      <c r="C457" t="s">
        <v>4786</v>
      </c>
      <c r="D457" t="s">
        <v>4852</v>
      </c>
      <c r="E457" t="s">
        <v>4853</v>
      </c>
      <c r="F457" t="s">
        <v>3664</v>
      </c>
      <c r="G457" t="s">
        <v>4854</v>
      </c>
    </row>
    <row r="458" customHeight="1" spans="1:7">
      <c r="A458" t="s">
        <v>16</v>
      </c>
      <c r="B458" t="s">
        <v>4785</v>
      </c>
      <c r="C458" t="s">
        <v>4786</v>
      </c>
      <c r="D458" t="s">
        <v>4855</v>
      </c>
      <c r="E458" t="s">
        <v>4856</v>
      </c>
      <c r="F458" t="s">
        <v>3664</v>
      </c>
      <c r="G458" t="s">
        <v>4857</v>
      </c>
    </row>
    <row r="459" customHeight="1" spans="1:7">
      <c r="A459" t="s">
        <v>16</v>
      </c>
      <c r="B459" t="s">
        <v>4858</v>
      </c>
      <c r="C459" t="s">
        <v>4859</v>
      </c>
      <c r="D459" t="s">
        <v>4860</v>
      </c>
      <c r="E459" t="s">
        <v>4861</v>
      </c>
      <c r="F459" t="s">
        <v>3562</v>
      </c>
      <c r="G459" t="s">
        <v>4862</v>
      </c>
    </row>
    <row r="460" customHeight="1" spans="1:7">
      <c r="A460" t="s">
        <v>16</v>
      </c>
      <c r="B460" t="s">
        <v>4858</v>
      </c>
      <c r="C460" t="s">
        <v>4859</v>
      </c>
      <c r="D460" t="s">
        <v>4863</v>
      </c>
      <c r="E460" t="s">
        <v>4864</v>
      </c>
      <c r="F460" t="s">
        <v>3562</v>
      </c>
      <c r="G460" t="s">
        <v>4865</v>
      </c>
    </row>
    <row r="461" customHeight="1" spans="1:7">
      <c r="A461" t="s">
        <v>16</v>
      </c>
      <c r="B461" t="s">
        <v>4858</v>
      </c>
      <c r="C461" t="s">
        <v>4859</v>
      </c>
      <c r="D461" t="s">
        <v>4866</v>
      </c>
      <c r="E461" t="s">
        <v>4867</v>
      </c>
      <c r="F461" t="s">
        <v>3562</v>
      </c>
      <c r="G461" t="s">
        <v>4868</v>
      </c>
    </row>
    <row r="462" customHeight="1" spans="1:7">
      <c r="A462" t="s">
        <v>16</v>
      </c>
      <c r="B462" t="s">
        <v>4858</v>
      </c>
      <c r="C462" t="s">
        <v>4859</v>
      </c>
      <c r="D462" t="s">
        <v>4869</v>
      </c>
      <c r="E462" t="s">
        <v>4870</v>
      </c>
      <c r="F462" t="s">
        <v>3562</v>
      </c>
      <c r="G462" t="s">
        <v>4871</v>
      </c>
    </row>
    <row r="463" customHeight="1" spans="1:7">
      <c r="A463" t="s">
        <v>16</v>
      </c>
      <c r="B463" t="s">
        <v>4858</v>
      </c>
      <c r="C463" t="s">
        <v>4859</v>
      </c>
      <c r="D463" t="s">
        <v>4872</v>
      </c>
      <c r="E463" t="s">
        <v>4873</v>
      </c>
      <c r="F463" t="s">
        <v>3562</v>
      </c>
      <c r="G463" t="s">
        <v>4874</v>
      </c>
    </row>
    <row r="464" customHeight="1" spans="1:7">
      <c r="A464" t="s">
        <v>16</v>
      </c>
      <c r="B464" t="s">
        <v>4858</v>
      </c>
      <c r="C464" t="s">
        <v>4859</v>
      </c>
      <c r="D464" t="s">
        <v>4858</v>
      </c>
      <c r="E464" t="s">
        <v>4859</v>
      </c>
      <c r="F464" t="s">
        <v>3559</v>
      </c>
      <c r="G464" t="s">
        <v>4875</v>
      </c>
    </row>
    <row r="465" customHeight="1" spans="1:7">
      <c r="A465" t="s">
        <v>16</v>
      </c>
      <c r="B465" t="s">
        <v>4858</v>
      </c>
      <c r="C465" t="s">
        <v>4859</v>
      </c>
      <c r="D465" t="s">
        <v>4876</v>
      </c>
      <c r="E465" t="s">
        <v>4877</v>
      </c>
      <c r="F465" t="s">
        <v>3562</v>
      </c>
      <c r="G465" t="s">
        <v>4878</v>
      </c>
    </row>
    <row r="466" customHeight="1" spans="1:7">
      <c r="A466" t="s">
        <v>16</v>
      </c>
      <c r="B466" t="s">
        <v>4858</v>
      </c>
      <c r="C466" t="s">
        <v>4859</v>
      </c>
      <c r="D466" t="s">
        <v>4879</v>
      </c>
      <c r="E466" t="s">
        <v>4880</v>
      </c>
      <c r="F466" t="s">
        <v>3562</v>
      </c>
      <c r="G466" t="s">
        <v>4881</v>
      </c>
    </row>
    <row r="467" customHeight="1" spans="1:7">
      <c r="A467" t="s">
        <v>16</v>
      </c>
      <c r="B467" t="s">
        <v>4858</v>
      </c>
      <c r="C467" t="s">
        <v>4859</v>
      </c>
      <c r="D467" t="s">
        <v>4882</v>
      </c>
      <c r="E467" t="s">
        <v>4883</v>
      </c>
      <c r="F467" t="s">
        <v>3562</v>
      </c>
      <c r="G467" t="s">
        <v>4884</v>
      </c>
    </row>
    <row r="468" customHeight="1" spans="1:7">
      <c r="A468" t="s">
        <v>16</v>
      </c>
      <c r="B468" t="s">
        <v>4858</v>
      </c>
      <c r="C468" t="s">
        <v>4859</v>
      </c>
      <c r="D468" t="s">
        <v>4885</v>
      </c>
      <c r="E468" t="s">
        <v>4886</v>
      </c>
      <c r="F468" t="s">
        <v>3562</v>
      </c>
      <c r="G468" t="s">
        <v>4887</v>
      </c>
    </row>
    <row r="469" customHeight="1" spans="1:7">
      <c r="A469" t="s">
        <v>16</v>
      </c>
      <c r="B469" t="s">
        <v>4858</v>
      </c>
      <c r="C469" t="s">
        <v>4859</v>
      </c>
      <c r="D469" t="s">
        <v>4888</v>
      </c>
      <c r="E469" t="s">
        <v>4889</v>
      </c>
      <c r="F469" t="s">
        <v>3562</v>
      </c>
      <c r="G469" t="s">
        <v>4890</v>
      </c>
    </row>
    <row r="470" customHeight="1" spans="1:7">
      <c r="A470" t="s">
        <v>16</v>
      </c>
      <c r="B470" t="s">
        <v>4858</v>
      </c>
      <c r="C470" t="s">
        <v>4859</v>
      </c>
      <c r="D470" t="s">
        <v>4891</v>
      </c>
      <c r="E470" t="s">
        <v>4892</v>
      </c>
      <c r="F470" t="s">
        <v>3562</v>
      </c>
      <c r="G470" t="s">
        <v>4893</v>
      </c>
    </row>
    <row r="471" customHeight="1" spans="1:7">
      <c r="A471" t="s">
        <v>16</v>
      </c>
      <c r="B471" t="s">
        <v>4858</v>
      </c>
      <c r="C471" t="s">
        <v>4859</v>
      </c>
      <c r="D471" t="s">
        <v>4894</v>
      </c>
      <c r="E471" t="s">
        <v>4895</v>
      </c>
      <c r="F471" t="s">
        <v>3562</v>
      </c>
      <c r="G471" t="s">
        <v>4896</v>
      </c>
    </row>
    <row r="472" customHeight="1" spans="1:7">
      <c r="A472" t="s">
        <v>16</v>
      </c>
      <c r="B472" t="s">
        <v>4858</v>
      </c>
      <c r="C472" t="s">
        <v>4859</v>
      </c>
      <c r="D472" t="s">
        <v>4897</v>
      </c>
      <c r="E472" t="s">
        <v>4898</v>
      </c>
      <c r="F472" t="s">
        <v>3562</v>
      </c>
      <c r="G472" t="s">
        <v>4899</v>
      </c>
    </row>
    <row r="473" customHeight="1" spans="1:7">
      <c r="A473" t="s">
        <v>16</v>
      </c>
      <c r="B473" t="s">
        <v>4858</v>
      </c>
      <c r="C473" t="s">
        <v>4859</v>
      </c>
      <c r="D473" t="s">
        <v>4900</v>
      </c>
      <c r="E473" t="s">
        <v>4901</v>
      </c>
      <c r="F473" t="s">
        <v>3562</v>
      </c>
      <c r="G473" t="s">
        <v>4902</v>
      </c>
    </row>
    <row r="474" customHeight="1" spans="1:7">
      <c r="A474" t="s">
        <v>16</v>
      </c>
      <c r="B474" t="s">
        <v>4858</v>
      </c>
      <c r="C474" t="s">
        <v>4859</v>
      </c>
      <c r="D474" t="s">
        <v>4903</v>
      </c>
      <c r="E474" t="s">
        <v>4904</v>
      </c>
      <c r="F474" t="s">
        <v>3562</v>
      </c>
      <c r="G474" t="s">
        <v>4905</v>
      </c>
    </row>
    <row r="475" customHeight="1" spans="1:7">
      <c r="A475" t="s">
        <v>16</v>
      </c>
      <c r="B475" t="s">
        <v>4858</v>
      </c>
      <c r="C475" t="s">
        <v>4859</v>
      </c>
      <c r="D475" t="s">
        <v>4906</v>
      </c>
      <c r="E475" t="s">
        <v>4907</v>
      </c>
      <c r="F475" t="s">
        <v>3562</v>
      </c>
      <c r="G475" t="s">
        <v>4908</v>
      </c>
    </row>
    <row r="476" customHeight="1" spans="1:7">
      <c r="A476" t="s">
        <v>16</v>
      </c>
      <c r="B476" t="s">
        <v>4858</v>
      </c>
      <c r="C476" t="s">
        <v>4859</v>
      </c>
      <c r="D476" t="s">
        <v>4909</v>
      </c>
      <c r="E476" t="s">
        <v>4910</v>
      </c>
      <c r="F476" t="s">
        <v>3562</v>
      </c>
      <c r="G476" t="s">
        <v>4911</v>
      </c>
    </row>
    <row r="477" customHeight="1" spans="1:7">
      <c r="A477" t="s">
        <v>16</v>
      </c>
      <c r="B477" t="s">
        <v>4912</v>
      </c>
      <c r="C477" t="s">
        <v>4913</v>
      </c>
      <c r="D477" t="s">
        <v>3614</v>
      </c>
      <c r="E477" t="s">
        <v>4914</v>
      </c>
      <c r="F477" t="s">
        <v>3562</v>
      </c>
      <c r="G477" t="s">
        <v>4915</v>
      </c>
    </row>
    <row r="478" customHeight="1" spans="1:7">
      <c r="A478" t="s">
        <v>16</v>
      </c>
      <c r="B478" t="s">
        <v>4912</v>
      </c>
      <c r="C478" t="s">
        <v>4913</v>
      </c>
      <c r="D478" t="s">
        <v>4916</v>
      </c>
      <c r="E478" t="s">
        <v>4917</v>
      </c>
      <c r="F478" t="s">
        <v>3562</v>
      </c>
      <c r="G478" t="s">
        <v>4918</v>
      </c>
    </row>
    <row r="479" customHeight="1" spans="1:7">
      <c r="A479" t="s">
        <v>16</v>
      </c>
      <c r="B479" t="s">
        <v>4912</v>
      </c>
      <c r="C479" t="s">
        <v>4913</v>
      </c>
      <c r="D479" t="s">
        <v>4919</v>
      </c>
      <c r="E479" t="s">
        <v>4920</v>
      </c>
      <c r="F479" t="s">
        <v>3562</v>
      </c>
      <c r="G479" t="s">
        <v>4921</v>
      </c>
    </row>
    <row r="480" customHeight="1" spans="1:7">
      <c r="A480" t="s">
        <v>16</v>
      </c>
      <c r="B480" t="s">
        <v>4912</v>
      </c>
      <c r="C480" t="s">
        <v>4913</v>
      </c>
      <c r="D480" t="s">
        <v>4922</v>
      </c>
      <c r="E480" t="s">
        <v>4923</v>
      </c>
      <c r="F480" t="s">
        <v>3562</v>
      </c>
      <c r="G480" t="s">
        <v>4924</v>
      </c>
    </row>
    <row r="481" customHeight="1" spans="1:7">
      <c r="A481" t="s">
        <v>16</v>
      </c>
      <c r="B481" t="s">
        <v>4912</v>
      </c>
      <c r="C481" t="s">
        <v>4913</v>
      </c>
      <c r="D481" t="s">
        <v>4925</v>
      </c>
      <c r="E481" t="s">
        <v>4926</v>
      </c>
      <c r="F481" t="s">
        <v>3562</v>
      </c>
      <c r="G481" t="s">
        <v>4927</v>
      </c>
    </row>
    <row r="482" customHeight="1" spans="1:7">
      <c r="A482" t="s">
        <v>16</v>
      </c>
      <c r="B482" t="s">
        <v>4912</v>
      </c>
      <c r="C482" t="s">
        <v>4913</v>
      </c>
      <c r="D482" t="s">
        <v>4928</v>
      </c>
      <c r="E482" t="s">
        <v>4929</v>
      </c>
      <c r="F482" t="s">
        <v>3562</v>
      </c>
      <c r="G482" t="s">
        <v>4930</v>
      </c>
    </row>
    <row r="483" customHeight="1" spans="1:7">
      <c r="A483" t="s">
        <v>16</v>
      </c>
      <c r="B483" t="s">
        <v>4912</v>
      </c>
      <c r="C483" t="s">
        <v>4913</v>
      </c>
      <c r="D483" t="s">
        <v>4912</v>
      </c>
      <c r="E483" t="s">
        <v>4913</v>
      </c>
      <c r="F483" t="s">
        <v>3559</v>
      </c>
      <c r="G483" t="s">
        <v>4931</v>
      </c>
    </row>
    <row r="484" customHeight="1" spans="1:7">
      <c r="A484" t="s">
        <v>16</v>
      </c>
      <c r="B484" t="s">
        <v>4912</v>
      </c>
      <c r="C484" t="s">
        <v>4913</v>
      </c>
      <c r="D484" t="s">
        <v>4932</v>
      </c>
      <c r="E484" t="s">
        <v>4933</v>
      </c>
      <c r="F484" t="s">
        <v>3562</v>
      </c>
      <c r="G484" t="s">
        <v>4934</v>
      </c>
    </row>
    <row r="485" customHeight="1" spans="1:7">
      <c r="A485" t="s">
        <v>16</v>
      </c>
      <c r="B485" t="s">
        <v>4912</v>
      </c>
      <c r="C485" t="s">
        <v>4913</v>
      </c>
      <c r="D485" t="s">
        <v>4935</v>
      </c>
      <c r="E485" t="s">
        <v>4936</v>
      </c>
      <c r="F485" t="s">
        <v>3562</v>
      </c>
      <c r="G485" t="s">
        <v>4937</v>
      </c>
    </row>
    <row r="486" customHeight="1" spans="1:7">
      <c r="A486" t="s">
        <v>16</v>
      </c>
      <c r="B486" t="s">
        <v>4912</v>
      </c>
      <c r="C486" t="s">
        <v>4913</v>
      </c>
      <c r="D486" t="s">
        <v>4938</v>
      </c>
      <c r="E486" t="s">
        <v>4939</v>
      </c>
      <c r="F486" t="s">
        <v>3562</v>
      </c>
      <c r="G486" t="s">
        <v>4940</v>
      </c>
    </row>
    <row r="487" customHeight="1" spans="1:7">
      <c r="A487" t="s">
        <v>16</v>
      </c>
      <c r="B487" t="s">
        <v>4912</v>
      </c>
      <c r="C487" t="s">
        <v>4913</v>
      </c>
      <c r="D487" t="s">
        <v>4941</v>
      </c>
      <c r="E487" t="s">
        <v>4942</v>
      </c>
      <c r="F487" t="s">
        <v>3562</v>
      </c>
      <c r="G487" t="s">
        <v>4943</v>
      </c>
    </row>
    <row r="488" customHeight="1" spans="1:7">
      <c r="A488" t="s">
        <v>16</v>
      </c>
      <c r="B488" t="s">
        <v>4912</v>
      </c>
      <c r="C488" t="s">
        <v>4913</v>
      </c>
      <c r="D488" t="s">
        <v>4944</v>
      </c>
      <c r="E488" t="s">
        <v>4945</v>
      </c>
      <c r="F488" t="s">
        <v>3562</v>
      </c>
      <c r="G488" t="s">
        <v>4946</v>
      </c>
    </row>
    <row r="489" customHeight="1" spans="1:7">
      <c r="A489" t="s">
        <v>16</v>
      </c>
      <c r="B489" t="s">
        <v>4912</v>
      </c>
      <c r="C489" t="s">
        <v>4913</v>
      </c>
      <c r="D489" t="s">
        <v>4947</v>
      </c>
      <c r="E489" t="s">
        <v>4948</v>
      </c>
      <c r="F489" t="s">
        <v>3562</v>
      </c>
      <c r="G489" t="s">
        <v>4949</v>
      </c>
    </row>
    <row r="490" customHeight="1" spans="1:7">
      <c r="A490" t="s">
        <v>16</v>
      </c>
      <c r="B490" t="s">
        <v>4912</v>
      </c>
      <c r="C490" t="s">
        <v>4913</v>
      </c>
      <c r="D490" t="s">
        <v>4950</v>
      </c>
      <c r="E490" t="s">
        <v>4951</v>
      </c>
      <c r="F490" t="s">
        <v>3562</v>
      </c>
      <c r="G490" t="s">
        <v>4952</v>
      </c>
    </row>
    <row r="491" customHeight="1" spans="1:7">
      <c r="A491" t="s">
        <v>16</v>
      </c>
      <c r="B491" t="s">
        <v>4912</v>
      </c>
      <c r="C491" t="s">
        <v>4913</v>
      </c>
      <c r="D491" t="s">
        <v>4953</v>
      </c>
      <c r="E491" t="s">
        <v>4954</v>
      </c>
      <c r="F491" t="s">
        <v>3562</v>
      </c>
      <c r="G491" t="s">
        <v>4955</v>
      </c>
    </row>
    <row r="492" customHeight="1" spans="1:7">
      <c r="A492" t="s">
        <v>16</v>
      </c>
      <c r="B492" t="s">
        <v>4912</v>
      </c>
      <c r="C492" t="s">
        <v>4913</v>
      </c>
      <c r="D492" t="s">
        <v>4956</v>
      </c>
      <c r="E492" t="s">
        <v>4957</v>
      </c>
      <c r="F492" t="s">
        <v>3562</v>
      </c>
      <c r="G492" t="s">
        <v>4958</v>
      </c>
    </row>
    <row r="493" customHeight="1" spans="1:7">
      <c r="A493" t="s">
        <v>16</v>
      </c>
      <c r="B493" t="s">
        <v>4912</v>
      </c>
      <c r="C493" t="s">
        <v>4913</v>
      </c>
      <c r="D493" t="s">
        <v>4959</v>
      </c>
      <c r="E493" t="s">
        <v>4960</v>
      </c>
      <c r="F493" t="s">
        <v>3562</v>
      </c>
      <c r="G493" t="s">
        <v>4961</v>
      </c>
    </row>
    <row r="494" customHeight="1" spans="1:7">
      <c r="A494" t="s">
        <v>16</v>
      </c>
      <c r="B494" t="s">
        <v>4912</v>
      </c>
      <c r="C494" t="s">
        <v>4913</v>
      </c>
      <c r="D494" t="s">
        <v>4962</v>
      </c>
      <c r="E494" t="s">
        <v>4963</v>
      </c>
      <c r="F494" t="s">
        <v>3562</v>
      </c>
      <c r="G494" t="s">
        <v>4964</v>
      </c>
    </row>
    <row r="495" customHeight="1" spans="1:7">
      <c r="A495" t="s">
        <v>16</v>
      </c>
      <c r="B495" t="s">
        <v>4912</v>
      </c>
      <c r="C495" t="s">
        <v>4913</v>
      </c>
      <c r="D495" t="s">
        <v>4965</v>
      </c>
      <c r="E495" t="s">
        <v>4966</v>
      </c>
      <c r="F495" t="s">
        <v>3664</v>
      </c>
      <c r="G495" t="s">
        <v>4967</v>
      </c>
    </row>
    <row r="496" customHeight="1" spans="1:7">
      <c r="A496" t="s">
        <v>16</v>
      </c>
      <c r="B496" t="s">
        <v>4912</v>
      </c>
      <c r="C496" t="s">
        <v>4913</v>
      </c>
      <c r="D496" t="s">
        <v>4968</v>
      </c>
      <c r="E496" t="s">
        <v>4969</v>
      </c>
      <c r="F496" t="s">
        <v>3664</v>
      </c>
      <c r="G496" t="s">
        <v>4970</v>
      </c>
    </row>
    <row r="497" customHeight="1" spans="1:7">
      <c r="A497" t="s">
        <v>16</v>
      </c>
      <c r="B497" t="s">
        <v>4912</v>
      </c>
      <c r="C497" t="s">
        <v>4913</v>
      </c>
      <c r="D497" t="s">
        <v>4971</v>
      </c>
      <c r="E497" t="s">
        <v>4972</v>
      </c>
      <c r="F497" t="s">
        <v>3664</v>
      </c>
      <c r="G497" t="s">
        <v>4973</v>
      </c>
    </row>
    <row r="498" customHeight="1" spans="1:7">
      <c r="A498" t="s">
        <v>16</v>
      </c>
      <c r="B498" t="s">
        <v>4974</v>
      </c>
      <c r="C498" t="s">
        <v>4975</v>
      </c>
      <c r="D498" t="s">
        <v>4976</v>
      </c>
      <c r="E498" t="s">
        <v>4977</v>
      </c>
      <c r="F498" t="s">
        <v>3562</v>
      </c>
      <c r="G498" t="s">
        <v>4978</v>
      </c>
    </row>
    <row r="499" customHeight="1" spans="1:7">
      <c r="A499" t="s">
        <v>16</v>
      </c>
      <c r="B499" t="s">
        <v>4974</v>
      </c>
      <c r="C499" t="s">
        <v>4975</v>
      </c>
      <c r="D499" t="s">
        <v>4979</v>
      </c>
      <c r="E499" t="s">
        <v>4980</v>
      </c>
      <c r="F499" t="s">
        <v>3562</v>
      </c>
      <c r="G499" t="s">
        <v>4981</v>
      </c>
    </row>
    <row r="500" customHeight="1" spans="1:7">
      <c r="A500" t="s">
        <v>16</v>
      </c>
      <c r="B500" t="s">
        <v>4974</v>
      </c>
      <c r="C500" t="s">
        <v>4975</v>
      </c>
      <c r="D500" t="s">
        <v>4982</v>
      </c>
      <c r="E500" t="s">
        <v>4983</v>
      </c>
      <c r="F500" t="s">
        <v>3562</v>
      </c>
      <c r="G500" t="s">
        <v>4984</v>
      </c>
    </row>
    <row r="501" customHeight="1" spans="1:7">
      <c r="A501" t="s">
        <v>16</v>
      </c>
      <c r="B501" t="s">
        <v>4974</v>
      </c>
      <c r="C501" t="s">
        <v>4975</v>
      </c>
      <c r="D501" t="s">
        <v>4985</v>
      </c>
      <c r="E501" t="s">
        <v>4986</v>
      </c>
      <c r="F501" t="s">
        <v>3562</v>
      </c>
      <c r="G501" t="s">
        <v>4987</v>
      </c>
    </row>
    <row r="502" customHeight="1" spans="1:7">
      <c r="A502" t="s">
        <v>16</v>
      </c>
      <c r="B502" t="s">
        <v>4974</v>
      </c>
      <c r="C502" t="s">
        <v>4975</v>
      </c>
      <c r="D502" t="s">
        <v>4988</v>
      </c>
      <c r="E502" t="s">
        <v>4989</v>
      </c>
      <c r="F502" t="s">
        <v>3562</v>
      </c>
      <c r="G502" t="s">
        <v>4990</v>
      </c>
    </row>
    <row r="503" customHeight="1" spans="1:7">
      <c r="A503" t="s">
        <v>16</v>
      </c>
      <c r="B503" t="s">
        <v>4974</v>
      </c>
      <c r="C503" t="s">
        <v>4975</v>
      </c>
      <c r="D503" t="s">
        <v>4991</v>
      </c>
      <c r="E503" t="s">
        <v>4992</v>
      </c>
      <c r="F503" t="s">
        <v>3562</v>
      </c>
      <c r="G503" t="s">
        <v>4993</v>
      </c>
    </row>
    <row r="504" customHeight="1" spans="1:7">
      <c r="A504" t="s">
        <v>16</v>
      </c>
      <c r="B504" t="s">
        <v>4974</v>
      </c>
      <c r="C504" t="s">
        <v>4975</v>
      </c>
      <c r="D504" t="s">
        <v>4994</v>
      </c>
      <c r="E504" t="s">
        <v>4995</v>
      </c>
      <c r="F504" t="s">
        <v>3562</v>
      </c>
      <c r="G504" t="s">
        <v>4996</v>
      </c>
    </row>
    <row r="505" customHeight="1" spans="1:7">
      <c r="A505" t="s">
        <v>16</v>
      </c>
      <c r="B505" t="s">
        <v>4974</v>
      </c>
      <c r="C505" t="s">
        <v>4975</v>
      </c>
      <c r="D505" t="s">
        <v>3883</v>
      </c>
      <c r="E505" t="s">
        <v>4997</v>
      </c>
      <c r="F505" t="s">
        <v>3562</v>
      </c>
      <c r="G505" t="s">
        <v>4998</v>
      </c>
    </row>
    <row r="506" customHeight="1" spans="1:7">
      <c r="A506" t="s">
        <v>16</v>
      </c>
      <c r="B506" t="s">
        <v>4974</v>
      </c>
      <c r="C506" t="s">
        <v>4975</v>
      </c>
      <c r="D506" t="s">
        <v>4974</v>
      </c>
      <c r="E506" t="s">
        <v>4975</v>
      </c>
      <c r="F506" t="s">
        <v>3559</v>
      </c>
      <c r="G506" t="s">
        <v>4999</v>
      </c>
    </row>
    <row r="507" customHeight="1" spans="1:7">
      <c r="A507" t="s">
        <v>16</v>
      </c>
      <c r="B507" t="s">
        <v>4974</v>
      </c>
      <c r="C507" t="s">
        <v>4975</v>
      </c>
      <c r="D507" t="s">
        <v>5000</v>
      </c>
      <c r="E507" t="s">
        <v>5001</v>
      </c>
      <c r="F507" t="s">
        <v>3562</v>
      </c>
      <c r="G507" t="s">
        <v>5002</v>
      </c>
    </row>
    <row r="508" customHeight="1" spans="1:7">
      <c r="A508" t="s">
        <v>16</v>
      </c>
      <c r="B508" t="s">
        <v>4974</v>
      </c>
      <c r="C508" t="s">
        <v>4975</v>
      </c>
      <c r="D508" t="s">
        <v>5003</v>
      </c>
      <c r="E508" t="s">
        <v>5004</v>
      </c>
      <c r="F508" t="s">
        <v>3562</v>
      </c>
      <c r="G508" t="s">
        <v>5005</v>
      </c>
    </row>
    <row r="509" customHeight="1" spans="1:7">
      <c r="A509" t="s">
        <v>16</v>
      </c>
      <c r="B509" t="s">
        <v>4974</v>
      </c>
      <c r="C509" t="s">
        <v>4975</v>
      </c>
      <c r="D509" t="s">
        <v>5006</v>
      </c>
      <c r="E509" t="s">
        <v>5007</v>
      </c>
      <c r="F509" t="s">
        <v>3562</v>
      </c>
      <c r="G509" t="s">
        <v>5008</v>
      </c>
    </row>
    <row r="510" customHeight="1" spans="1:7">
      <c r="A510" t="s">
        <v>16</v>
      </c>
      <c r="B510" t="s">
        <v>4974</v>
      </c>
      <c r="C510" t="s">
        <v>4975</v>
      </c>
      <c r="D510" t="s">
        <v>5009</v>
      </c>
      <c r="E510" t="s">
        <v>5010</v>
      </c>
      <c r="F510" t="s">
        <v>3562</v>
      </c>
      <c r="G510" t="s">
        <v>5011</v>
      </c>
    </row>
    <row r="511" customHeight="1" spans="1:7">
      <c r="A511" t="s">
        <v>16</v>
      </c>
      <c r="B511" t="s">
        <v>4974</v>
      </c>
      <c r="C511" t="s">
        <v>4975</v>
      </c>
      <c r="D511" t="s">
        <v>5012</v>
      </c>
      <c r="E511" t="s">
        <v>5013</v>
      </c>
      <c r="F511" t="s">
        <v>3562</v>
      </c>
      <c r="G511" t="s">
        <v>5014</v>
      </c>
    </row>
    <row r="512" customHeight="1" spans="1:7">
      <c r="A512" t="s">
        <v>16</v>
      </c>
      <c r="B512" t="s">
        <v>4974</v>
      </c>
      <c r="C512" t="s">
        <v>4975</v>
      </c>
      <c r="D512" t="s">
        <v>5015</v>
      </c>
      <c r="E512" t="s">
        <v>5016</v>
      </c>
      <c r="F512" t="s">
        <v>3562</v>
      </c>
      <c r="G512" t="s">
        <v>5017</v>
      </c>
    </row>
    <row r="513" customHeight="1" spans="1:7">
      <c r="A513" t="s">
        <v>16</v>
      </c>
      <c r="B513" t="s">
        <v>4974</v>
      </c>
      <c r="C513" t="s">
        <v>4975</v>
      </c>
      <c r="D513" t="s">
        <v>5018</v>
      </c>
      <c r="E513" t="s">
        <v>5019</v>
      </c>
      <c r="F513" t="s">
        <v>3562</v>
      </c>
      <c r="G513" t="s">
        <v>5020</v>
      </c>
    </row>
    <row r="514" customHeight="1" spans="1:7">
      <c r="A514" t="s">
        <v>16</v>
      </c>
      <c r="B514" t="s">
        <v>4974</v>
      </c>
      <c r="C514" t="s">
        <v>4975</v>
      </c>
      <c r="D514" t="s">
        <v>5021</v>
      </c>
      <c r="E514" t="s">
        <v>5022</v>
      </c>
      <c r="F514" t="s">
        <v>3562</v>
      </c>
      <c r="G514" t="s">
        <v>5023</v>
      </c>
    </row>
    <row r="515" customHeight="1" spans="1:7">
      <c r="A515" t="s">
        <v>16</v>
      </c>
      <c r="B515" t="s">
        <v>4974</v>
      </c>
      <c r="C515" t="s">
        <v>4975</v>
      </c>
      <c r="D515" t="s">
        <v>5024</v>
      </c>
      <c r="E515" t="s">
        <v>5025</v>
      </c>
      <c r="F515" t="s">
        <v>3562</v>
      </c>
      <c r="G515" t="s">
        <v>5026</v>
      </c>
    </row>
    <row r="516" customHeight="1" spans="1:7">
      <c r="A516" t="s">
        <v>16</v>
      </c>
      <c r="B516" t="s">
        <v>4974</v>
      </c>
      <c r="C516" t="s">
        <v>4975</v>
      </c>
      <c r="D516" t="s">
        <v>5027</v>
      </c>
      <c r="E516" t="s">
        <v>5028</v>
      </c>
      <c r="F516" t="s">
        <v>3562</v>
      </c>
      <c r="G516" t="s">
        <v>5029</v>
      </c>
    </row>
    <row r="517" customHeight="1" spans="1:7">
      <c r="A517" t="s">
        <v>16</v>
      </c>
      <c r="B517" t="s">
        <v>4974</v>
      </c>
      <c r="C517" t="s">
        <v>4975</v>
      </c>
      <c r="D517" t="s">
        <v>5030</v>
      </c>
      <c r="E517" t="s">
        <v>5031</v>
      </c>
      <c r="F517" t="s">
        <v>3562</v>
      </c>
      <c r="G517" t="s">
        <v>5032</v>
      </c>
    </row>
    <row r="518" customHeight="1" spans="1:7">
      <c r="A518" t="s">
        <v>16</v>
      </c>
      <c r="B518" t="s">
        <v>4974</v>
      </c>
      <c r="C518" t="s">
        <v>4975</v>
      </c>
      <c r="D518" t="s">
        <v>5033</v>
      </c>
      <c r="E518" t="s">
        <v>5034</v>
      </c>
      <c r="F518" t="s">
        <v>3562</v>
      </c>
      <c r="G518" t="s">
        <v>5035</v>
      </c>
    </row>
    <row r="519" customHeight="1" spans="1:7">
      <c r="A519" t="s">
        <v>16</v>
      </c>
      <c r="B519" t="s">
        <v>4974</v>
      </c>
      <c r="C519" t="s">
        <v>4975</v>
      </c>
      <c r="D519" t="s">
        <v>5036</v>
      </c>
      <c r="E519" t="s">
        <v>5037</v>
      </c>
      <c r="F519" t="s">
        <v>3562</v>
      </c>
      <c r="G519" t="s">
        <v>5038</v>
      </c>
    </row>
    <row r="520" customHeight="1" spans="1:7">
      <c r="A520" t="s">
        <v>16</v>
      </c>
      <c r="B520" t="s">
        <v>4974</v>
      </c>
      <c r="C520" t="s">
        <v>4975</v>
      </c>
      <c r="D520" t="s">
        <v>5039</v>
      </c>
      <c r="E520" t="s">
        <v>5040</v>
      </c>
      <c r="F520" t="s">
        <v>3562</v>
      </c>
      <c r="G520" t="s">
        <v>5041</v>
      </c>
    </row>
    <row r="521" customHeight="1" spans="1:7">
      <c r="A521" t="s">
        <v>16</v>
      </c>
      <c r="B521" t="s">
        <v>4974</v>
      </c>
      <c r="C521" t="s">
        <v>4975</v>
      </c>
      <c r="D521" t="s">
        <v>5042</v>
      </c>
      <c r="E521" t="s">
        <v>5043</v>
      </c>
      <c r="F521" t="s">
        <v>3562</v>
      </c>
      <c r="G521" t="s">
        <v>5044</v>
      </c>
    </row>
    <row r="522" customHeight="1" spans="1:7">
      <c r="A522" t="s">
        <v>16</v>
      </c>
      <c r="B522" t="s">
        <v>4974</v>
      </c>
      <c r="C522" t="s">
        <v>4975</v>
      </c>
      <c r="D522" t="s">
        <v>5045</v>
      </c>
      <c r="E522" t="s">
        <v>5046</v>
      </c>
      <c r="F522" t="s">
        <v>3562</v>
      </c>
      <c r="G522" t="s">
        <v>5047</v>
      </c>
    </row>
    <row r="523" customHeight="1" spans="1:7">
      <c r="A523" t="s">
        <v>16</v>
      </c>
      <c r="B523" t="s">
        <v>4974</v>
      </c>
      <c r="C523" t="s">
        <v>4975</v>
      </c>
      <c r="D523" t="s">
        <v>5048</v>
      </c>
      <c r="E523" t="s">
        <v>5049</v>
      </c>
      <c r="F523" t="s">
        <v>3562</v>
      </c>
      <c r="G523" t="s">
        <v>5050</v>
      </c>
    </row>
    <row r="524" customHeight="1" spans="1:7">
      <c r="A524" t="s">
        <v>16</v>
      </c>
      <c r="B524" t="s">
        <v>4974</v>
      </c>
      <c r="C524" t="s">
        <v>4975</v>
      </c>
      <c r="D524" t="s">
        <v>5051</v>
      </c>
      <c r="E524" t="s">
        <v>5052</v>
      </c>
      <c r="F524" t="s">
        <v>3562</v>
      </c>
      <c r="G524" t="s">
        <v>5053</v>
      </c>
    </row>
    <row r="525" customHeight="1" spans="1:7">
      <c r="A525" t="s">
        <v>16</v>
      </c>
      <c r="B525" t="s">
        <v>4974</v>
      </c>
      <c r="C525" t="s">
        <v>4975</v>
      </c>
      <c r="D525" t="s">
        <v>5054</v>
      </c>
      <c r="E525" t="s">
        <v>5055</v>
      </c>
      <c r="F525" t="s">
        <v>3562</v>
      </c>
      <c r="G525" t="s">
        <v>5056</v>
      </c>
    </row>
    <row r="526" customHeight="1" spans="1:7">
      <c r="A526" t="s">
        <v>16</v>
      </c>
      <c r="B526" t="s">
        <v>4974</v>
      </c>
      <c r="C526" t="s">
        <v>4975</v>
      </c>
      <c r="D526" t="s">
        <v>5057</v>
      </c>
      <c r="E526" t="s">
        <v>5058</v>
      </c>
      <c r="F526" t="s">
        <v>3562</v>
      </c>
      <c r="G526" t="s">
        <v>5059</v>
      </c>
    </row>
    <row r="527" customHeight="1" spans="1:7">
      <c r="A527" t="s">
        <v>16</v>
      </c>
      <c r="B527" t="s">
        <v>4974</v>
      </c>
      <c r="C527" t="s">
        <v>4975</v>
      </c>
      <c r="D527" t="s">
        <v>5060</v>
      </c>
      <c r="E527" t="s">
        <v>5061</v>
      </c>
      <c r="F527" t="s">
        <v>3562</v>
      </c>
      <c r="G527" t="s">
        <v>5062</v>
      </c>
    </row>
    <row r="528" customHeight="1" spans="1:7">
      <c r="A528" t="s">
        <v>16</v>
      </c>
      <c r="B528" t="s">
        <v>4974</v>
      </c>
      <c r="C528" t="s">
        <v>4975</v>
      </c>
      <c r="D528" t="s">
        <v>5063</v>
      </c>
      <c r="E528" t="s">
        <v>5064</v>
      </c>
      <c r="F528" t="s">
        <v>3567</v>
      </c>
      <c r="G528" t="s">
        <v>5065</v>
      </c>
    </row>
    <row r="529" customHeight="1" spans="1:7">
      <c r="A529" t="s">
        <v>16</v>
      </c>
      <c r="B529" t="s">
        <v>5066</v>
      </c>
      <c r="C529" t="s">
        <v>5067</v>
      </c>
      <c r="D529" t="s">
        <v>4207</v>
      </c>
      <c r="E529" t="s">
        <v>5068</v>
      </c>
      <c r="F529" t="s">
        <v>3562</v>
      </c>
      <c r="G529" t="s">
        <v>5069</v>
      </c>
    </row>
    <row r="530" customHeight="1" spans="1:7">
      <c r="A530" t="s">
        <v>16</v>
      </c>
      <c r="B530" t="s">
        <v>5066</v>
      </c>
      <c r="C530" t="s">
        <v>5067</v>
      </c>
      <c r="D530" t="s">
        <v>5070</v>
      </c>
      <c r="E530" t="s">
        <v>5071</v>
      </c>
      <c r="F530" t="s">
        <v>3562</v>
      </c>
      <c r="G530" t="s">
        <v>5072</v>
      </c>
    </row>
    <row r="531" customHeight="1" spans="1:7">
      <c r="A531" t="s">
        <v>16</v>
      </c>
      <c r="B531" t="s">
        <v>5066</v>
      </c>
      <c r="C531" t="s">
        <v>5067</v>
      </c>
      <c r="D531" t="s">
        <v>5073</v>
      </c>
      <c r="E531" t="s">
        <v>5074</v>
      </c>
      <c r="F531" t="s">
        <v>3562</v>
      </c>
      <c r="G531" t="s">
        <v>5075</v>
      </c>
    </row>
    <row r="532" customHeight="1" spans="1:7">
      <c r="A532" t="s">
        <v>16</v>
      </c>
      <c r="B532" t="s">
        <v>5066</v>
      </c>
      <c r="C532" t="s">
        <v>5067</v>
      </c>
      <c r="D532" t="s">
        <v>5076</v>
      </c>
      <c r="E532" t="s">
        <v>5077</v>
      </c>
      <c r="F532" t="s">
        <v>3562</v>
      </c>
      <c r="G532" t="s">
        <v>5078</v>
      </c>
    </row>
    <row r="533" customHeight="1" spans="1:7">
      <c r="A533" t="s">
        <v>16</v>
      </c>
      <c r="B533" t="s">
        <v>5066</v>
      </c>
      <c r="C533" t="s">
        <v>5067</v>
      </c>
      <c r="D533" t="s">
        <v>5079</v>
      </c>
      <c r="E533" t="s">
        <v>5080</v>
      </c>
      <c r="F533" t="s">
        <v>3567</v>
      </c>
      <c r="G533" t="s">
        <v>5081</v>
      </c>
    </row>
    <row r="534" customHeight="1" spans="1:7">
      <c r="A534" t="s">
        <v>16</v>
      </c>
      <c r="B534" t="s">
        <v>5066</v>
      </c>
      <c r="C534" t="s">
        <v>5067</v>
      </c>
      <c r="D534" t="s">
        <v>5082</v>
      </c>
      <c r="E534" t="s">
        <v>5083</v>
      </c>
      <c r="F534" t="s">
        <v>3562</v>
      </c>
      <c r="G534" t="s">
        <v>5084</v>
      </c>
    </row>
    <row r="535" customHeight="1" spans="1:7">
      <c r="A535" t="s">
        <v>16</v>
      </c>
      <c r="B535" t="s">
        <v>5066</v>
      </c>
      <c r="C535" t="s">
        <v>5067</v>
      </c>
      <c r="D535" t="s">
        <v>5085</v>
      </c>
      <c r="E535" t="s">
        <v>5086</v>
      </c>
      <c r="F535" t="s">
        <v>3562</v>
      </c>
      <c r="G535" t="s">
        <v>5087</v>
      </c>
    </row>
    <row r="536" customHeight="1" spans="1:7">
      <c r="A536" t="s">
        <v>16</v>
      </c>
      <c r="B536" t="s">
        <v>5066</v>
      </c>
      <c r="C536" t="s">
        <v>5067</v>
      </c>
      <c r="D536" t="s">
        <v>5088</v>
      </c>
      <c r="E536" t="s">
        <v>5089</v>
      </c>
      <c r="F536" t="s">
        <v>3562</v>
      </c>
      <c r="G536" t="s">
        <v>5090</v>
      </c>
    </row>
    <row r="537" customHeight="1" spans="1:7">
      <c r="A537" t="s">
        <v>16</v>
      </c>
      <c r="B537" t="s">
        <v>5066</v>
      </c>
      <c r="C537" t="s">
        <v>5067</v>
      </c>
      <c r="D537" t="s">
        <v>5091</v>
      </c>
      <c r="E537" t="s">
        <v>5092</v>
      </c>
      <c r="F537" t="s">
        <v>3562</v>
      </c>
      <c r="G537" t="s">
        <v>5093</v>
      </c>
    </row>
    <row r="538" customHeight="1" spans="1:7">
      <c r="A538" t="s">
        <v>16</v>
      </c>
      <c r="B538" t="s">
        <v>5066</v>
      </c>
      <c r="C538" t="s">
        <v>5067</v>
      </c>
      <c r="D538" t="s">
        <v>5066</v>
      </c>
      <c r="E538" t="s">
        <v>5067</v>
      </c>
      <c r="F538" t="s">
        <v>3559</v>
      </c>
      <c r="G538" t="s">
        <v>5094</v>
      </c>
    </row>
    <row r="539" customHeight="1" spans="1:7">
      <c r="A539" t="s">
        <v>16</v>
      </c>
      <c r="B539" t="s">
        <v>5066</v>
      </c>
      <c r="C539" t="s">
        <v>5067</v>
      </c>
      <c r="D539" t="s">
        <v>5095</v>
      </c>
      <c r="E539" t="s">
        <v>5096</v>
      </c>
      <c r="F539" t="s">
        <v>3562</v>
      </c>
      <c r="G539" t="s">
        <v>5097</v>
      </c>
    </row>
    <row r="540" customHeight="1" spans="1:7">
      <c r="A540" t="s">
        <v>16</v>
      </c>
      <c r="B540" t="s">
        <v>5066</v>
      </c>
      <c r="C540" t="s">
        <v>5067</v>
      </c>
      <c r="D540" t="s">
        <v>5098</v>
      </c>
      <c r="E540" t="s">
        <v>5099</v>
      </c>
      <c r="F540" t="s">
        <v>3562</v>
      </c>
      <c r="G540" t="s">
        <v>5100</v>
      </c>
    </row>
    <row r="541" customHeight="1" spans="1:7">
      <c r="A541" t="s">
        <v>16</v>
      </c>
      <c r="B541" t="s">
        <v>5066</v>
      </c>
      <c r="C541" t="s">
        <v>5067</v>
      </c>
      <c r="D541" t="s">
        <v>5101</v>
      </c>
      <c r="E541" t="s">
        <v>5102</v>
      </c>
      <c r="F541" t="s">
        <v>3562</v>
      </c>
      <c r="G541" t="s">
        <v>5103</v>
      </c>
    </row>
    <row r="542" customHeight="1" spans="1:7">
      <c r="A542" t="s">
        <v>16</v>
      </c>
      <c r="B542" t="s">
        <v>5066</v>
      </c>
      <c r="C542" t="s">
        <v>5067</v>
      </c>
      <c r="D542" t="s">
        <v>5104</v>
      </c>
      <c r="E542" t="s">
        <v>5105</v>
      </c>
      <c r="F542" t="s">
        <v>3562</v>
      </c>
      <c r="G542" t="s">
        <v>5106</v>
      </c>
    </row>
    <row r="543" customHeight="1" spans="1:7">
      <c r="A543" t="s">
        <v>16</v>
      </c>
      <c r="B543" t="s">
        <v>5066</v>
      </c>
      <c r="C543" t="s">
        <v>5067</v>
      </c>
      <c r="D543" t="s">
        <v>5107</v>
      </c>
      <c r="E543" t="s">
        <v>5108</v>
      </c>
      <c r="F543" t="s">
        <v>3562</v>
      </c>
      <c r="G543" t="s">
        <v>5109</v>
      </c>
    </row>
    <row r="544" customHeight="1" spans="1:7">
      <c r="A544" t="s">
        <v>16</v>
      </c>
      <c r="B544" t="s">
        <v>5066</v>
      </c>
      <c r="C544" t="s">
        <v>5067</v>
      </c>
      <c r="D544" t="s">
        <v>5110</v>
      </c>
      <c r="E544" t="s">
        <v>5111</v>
      </c>
      <c r="F544" t="s">
        <v>3562</v>
      </c>
      <c r="G544" t="s">
        <v>5112</v>
      </c>
    </row>
    <row r="545" customHeight="1" spans="1:7">
      <c r="A545" t="s">
        <v>16</v>
      </c>
      <c r="B545" t="s">
        <v>5066</v>
      </c>
      <c r="C545" t="s">
        <v>5067</v>
      </c>
      <c r="D545" t="s">
        <v>5113</v>
      </c>
      <c r="E545" t="s">
        <v>5114</v>
      </c>
      <c r="F545" t="s">
        <v>3562</v>
      </c>
      <c r="G545" t="s">
        <v>5115</v>
      </c>
    </row>
    <row r="546" customHeight="1" spans="1:7">
      <c r="A546" t="s">
        <v>16</v>
      </c>
      <c r="B546" t="s">
        <v>5066</v>
      </c>
      <c r="C546" t="s">
        <v>5067</v>
      </c>
      <c r="D546" t="s">
        <v>5116</v>
      </c>
      <c r="E546" t="s">
        <v>5117</v>
      </c>
      <c r="F546" t="s">
        <v>3562</v>
      </c>
      <c r="G546" t="s">
        <v>5118</v>
      </c>
    </row>
    <row r="547" customHeight="1" spans="1:7">
      <c r="A547" t="s">
        <v>16</v>
      </c>
      <c r="B547" t="s">
        <v>5066</v>
      </c>
      <c r="C547" t="s">
        <v>5067</v>
      </c>
      <c r="D547" t="s">
        <v>5119</v>
      </c>
      <c r="E547" t="s">
        <v>5120</v>
      </c>
      <c r="F547" t="s">
        <v>3562</v>
      </c>
      <c r="G547" t="s">
        <v>5121</v>
      </c>
    </row>
    <row r="548" customHeight="1" spans="1:7">
      <c r="A548" t="s">
        <v>16</v>
      </c>
      <c r="B548" t="s">
        <v>5066</v>
      </c>
      <c r="C548" t="s">
        <v>5067</v>
      </c>
      <c r="D548" t="s">
        <v>5122</v>
      </c>
      <c r="E548" t="s">
        <v>5123</v>
      </c>
      <c r="F548" t="s">
        <v>3562</v>
      </c>
      <c r="G548" t="s">
        <v>5124</v>
      </c>
    </row>
    <row r="549" customHeight="1" spans="1:7">
      <c r="A549" t="s">
        <v>16</v>
      </c>
      <c r="B549" t="s">
        <v>5066</v>
      </c>
      <c r="C549" t="s">
        <v>5067</v>
      </c>
      <c r="D549" t="s">
        <v>5125</v>
      </c>
      <c r="E549" t="s">
        <v>5126</v>
      </c>
      <c r="F549" t="s">
        <v>3562</v>
      </c>
      <c r="G549" t="s">
        <v>5127</v>
      </c>
    </row>
    <row r="550" customHeight="1" spans="1:7">
      <c r="A550" t="s">
        <v>16</v>
      </c>
      <c r="B550" t="s">
        <v>5066</v>
      </c>
      <c r="C550" t="s">
        <v>5067</v>
      </c>
      <c r="D550" t="s">
        <v>5128</v>
      </c>
      <c r="E550" t="s">
        <v>5129</v>
      </c>
      <c r="F550" t="s">
        <v>3562</v>
      </c>
      <c r="G550" t="s">
        <v>5130</v>
      </c>
    </row>
    <row r="551" customHeight="1" spans="1:7">
      <c r="A551" t="s">
        <v>16</v>
      </c>
      <c r="B551" t="s">
        <v>5066</v>
      </c>
      <c r="C551" t="s">
        <v>5067</v>
      </c>
      <c r="D551" t="s">
        <v>5131</v>
      </c>
      <c r="E551" t="s">
        <v>5132</v>
      </c>
      <c r="F551" t="s">
        <v>3562</v>
      </c>
      <c r="G551" t="s">
        <v>5133</v>
      </c>
    </row>
    <row r="552" customHeight="1" spans="1:7">
      <c r="A552" t="s">
        <v>16</v>
      </c>
      <c r="B552" t="s">
        <v>5066</v>
      </c>
      <c r="C552" t="s">
        <v>5067</v>
      </c>
      <c r="D552" t="s">
        <v>5134</v>
      </c>
      <c r="E552" t="s">
        <v>5135</v>
      </c>
      <c r="F552" t="s">
        <v>3562</v>
      </c>
      <c r="G552" t="s">
        <v>5136</v>
      </c>
    </row>
    <row r="553" customHeight="1" spans="1:7">
      <c r="A553" t="s">
        <v>16</v>
      </c>
      <c r="B553" t="s">
        <v>5066</v>
      </c>
      <c r="C553" t="s">
        <v>5067</v>
      </c>
      <c r="D553" t="s">
        <v>5137</v>
      </c>
      <c r="E553" t="s">
        <v>5138</v>
      </c>
      <c r="F553" t="s">
        <v>3562</v>
      </c>
      <c r="G553" t="s">
        <v>5139</v>
      </c>
    </row>
    <row r="554" customHeight="1" spans="1:7">
      <c r="A554" t="s">
        <v>16</v>
      </c>
      <c r="B554" t="s">
        <v>5140</v>
      </c>
      <c r="C554" t="s">
        <v>5141</v>
      </c>
      <c r="D554" t="s">
        <v>5142</v>
      </c>
      <c r="E554" t="s">
        <v>5143</v>
      </c>
      <c r="F554" t="s">
        <v>3562</v>
      </c>
      <c r="G554" t="s">
        <v>5144</v>
      </c>
    </row>
    <row r="555" customHeight="1" spans="1:7">
      <c r="A555" t="s">
        <v>16</v>
      </c>
      <c r="B555" t="s">
        <v>5140</v>
      </c>
      <c r="C555" t="s">
        <v>5141</v>
      </c>
      <c r="D555" t="s">
        <v>5145</v>
      </c>
      <c r="E555" t="s">
        <v>5146</v>
      </c>
      <c r="F555" t="s">
        <v>3567</v>
      </c>
      <c r="G555" t="s">
        <v>5147</v>
      </c>
    </row>
    <row r="556" customHeight="1" spans="1:7">
      <c r="A556" t="s">
        <v>16</v>
      </c>
      <c r="B556" t="s">
        <v>5140</v>
      </c>
      <c r="C556" t="s">
        <v>5141</v>
      </c>
      <c r="D556" t="s">
        <v>5148</v>
      </c>
      <c r="E556" t="s">
        <v>5149</v>
      </c>
      <c r="F556" t="s">
        <v>3562</v>
      </c>
      <c r="G556" t="s">
        <v>5150</v>
      </c>
    </row>
    <row r="557" customHeight="1" spans="1:7">
      <c r="A557" t="s">
        <v>16</v>
      </c>
      <c r="B557" t="s">
        <v>5140</v>
      </c>
      <c r="C557" t="s">
        <v>5141</v>
      </c>
      <c r="D557" t="s">
        <v>4328</v>
      </c>
      <c r="E557" t="s">
        <v>5151</v>
      </c>
      <c r="F557" t="s">
        <v>3562</v>
      </c>
      <c r="G557" t="s">
        <v>5152</v>
      </c>
    </row>
    <row r="558" customHeight="1" spans="1:7">
      <c r="A558" t="s">
        <v>16</v>
      </c>
      <c r="B558" t="s">
        <v>5140</v>
      </c>
      <c r="C558" t="s">
        <v>5141</v>
      </c>
      <c r="D558" t="s">
        <v>5153</v>
      </c>
      <c r="E558" t="s">
        <v>5154</v>
      </c>
      <c r="F558" t="s">
        <v>3562</v>
      </c>
      <c r="G558" t="s">
        <v>5155</v>
      </c>
    </row>
    <row r="559" customHeight="1" spans="1:7">
      <c r="A559" t="s">
        <v>16</v>
      </c>
      <c r="B559" t="s">
        <v>5140</v>
      </c>
      <c r="C559" t="s">
        <v>5141</v>
      </c>
      <c r="D559" t="s">
        <v>5156</v>
      </c>
      <c r="E559" t="s">
        <v>5157</v>
      </c>
      <c r="F559" t="s">
        <v>3562</v>
      </c>
      <c r="G559" t="s">
        <v>5158</v>
      </c>
    </row>
    <row r="560" customHeight="1" spans="1:7">
      <c r="A560" t="s">
        <v>16</v>
      </c>
      <c r="B560" t="s">
        <v>5140</v>
      </c>
      <c r="C560" t="s">
        <v>5141</v>
      </c>
      <c r="D560" t="s">
        <v>5159</v>
      </c>
      <c r="E560" t="s">
        <v>5160</v>
      </c>
      <c r="F560" t="s">
        <v>3562</v>
      </c>
      <c r="G560" t="s">
        <v>5161</v>
      </c>
    </row>
    <row r="561" customHeight="1" spans="1:7">
      <c r="A561" t="s">
        <v>16</v>
      </c>
      <c r="B561" t="s">
        <v>5140</v>
      </c>
      <c r="C561" t="s">
        <v>5141</v>
      </c>
      <c r="D561" t="s">
        <v>5162</v>
      </c>
      <c r="E561" t="s">
        <v>5163</v>
      </c>
      <c r="F561" t="s">
        <v>3562</v>
      </c>
      <c r="G561" t="s">
        <v>5164</v>
      </c>
    </row>
    <row r="562" customHeight="1" spans="1:7">
      <c r="A562" t="s">
        <v>16</v>
      </c>
      <c r="B562" t="s">
        <v>5140</v>
      </c>
      <c r="C562" t="s">
        <v>5141</v>
      </c>
      <c r="D562" t="s">
        <v>5165</v>
      </c>
      <c r="E562" t="s">
        <v>5166</v>
      </c>
      <c r="F562" t="s">
        <v>3562</v>
      </c>
      <c r="G562" t="s">
        <v>5167</v>
      </c>
    </row>
    <row r="563" customHeight="1" spans="1:7">
      <c r="A563" t="s">
        <v>16</v>
      </c>
      <c r="B563" t="s">
        <v>5140</v>
      </c>
      <c r="C563" t="s">
        <v>5141</v>
      </c>
      <c r="D563" t="s">
        <v>5140</v>
      </c>
      <c r="E563" t="s">
        <v>5141</v>
      </c>
      <c r="F563" t="s">
        <v>3559</v>
      </c>
      <c r="G563" t="s">
        <v>5168</v>
      </c>
    </row>
    <row r="564" customHeight="1" spans="1:7">
      <c r="A564" t="s">
        <v>16</v>
      </c>
      <c r="B564" t="s">
        <v>5140</v>
      </c>
      <c r="C564" t="s">
        <v>5141</v>
      </c>
      <c r="D564" t="s">
        <v>5169</v>
      </c>
      <c r="E564" t="s">
        <v>5170</v>
      </c>
      <c r="F564" t="s">
        <v>3562</v>
      </c>
      <c r="G564" t="s">
        <v>5171</v>
      </c>
    </row>
    <row r="565" customHeight="1" spans="1:7">
      <c r="A565" t="s">
        <v>16</v>
      </c>
      <c r="B565" t="s">
        <v>5140</v>
      </c>
      <c r="C565" t="s">
        <v>5141</v>
      </c>
      <c r="D565" t="s">
        <v>5172</v>
      </c>
      <c r="E565" t="s">
        <v>5173</v>
      </c>
      <c r="F565" t="s">
        <v>3562</v>
      </c>
      <c r="G565" t="s">
        <v>5174</v>
      </c>
    </row>
    <row r="566" customHeight="1" spans="1:7">
      <c r="A566" t="s">
        <v>16</v>
      </c>
      <c r="B566" t="s">
        <v>5140</v>
      </c>
      <c r="C566" t="s">
        <v>5141</v>
      </c>
      <c r="D566" t="s">
        <v>5175</v>
      </c>
      <c r="E566" t="s">
        <v>5176</v>
      </c>
      <c r="F566" t="s">
        <v>3562</v>
      </c>
      <c r="G566" t="s">
        <v>5177</v>
      </c>
    </row>
    <row r="567" customHeight="1" spans="1:7">
      <c r="A567" t="s">
        <v>16</v>
      </c>
      <c r="B567" t="s">
        <v>5140</v>
      </c>
      <c r="C567" t="s">
        <v>5141</v>
      </c>
      <c r="D567" t="s">
        <v>5178</v>
      </c>
      <c r="E567" t="s">
        <v>5179</v>
      </c>
      <c r="F567" t="s">
        <v>3562</v>
      </c>
      <c r="G567" t="s">
        <v>5180</v>
      </c>
    </row>
    <row r="568" customHeight="1" spans="1:7">
      <c r="A568" t="s">
        <v>16</v>
      </c>
      <c r="B568" t="s">
        <v>5140</v>
      </c>
      <c r="C568" t="s">
        <v>5141</v>
      </c>
      <c r="D568" t="s">
        <v>5181</v>
      </c>
      <c r="E568" t="s">
        <v>5182</v>
      </c>
      <c r="F568" t="s">
        <v>3562</v>
      </c>
      <c r="G568" t="s">
        <v>5183</v>
      </c>
    </row>
    <row r="569" customHeight="1" spans="1:7">
      <c r="A569" t="s">
        <v>16</v>
      </c>
      <c r="B569" t="s">
        <v>5140</v>
      </c>
      <c r="C569" t="s">
        <v>5141</v>
      </c>
      <c r="D569" t="s">
        <v>5184</v>
      </c>
      <c r="E569" t="s">
        <v>5185</v>
      </c>
      <c r="F569" t="s">
        <v>3562</v>
      </c>
      <c r="G569" t="s">
        <v>5186</v>
      </c>
    </row>
    <row r="570" customHeight="1" spans="1:7">
      <c r="A570" t="s">
        <v>16</v>
      </c>
      <c r="B570" t="s">
        <v>5140</v>
      </c>
      <c r="C570" t="s">
        <v>5141</v>
      </c>
      <c r="D570" t="s">
        <v>5187</v>
      </c>
      <c r="E570" t="s">
        <v>5188</v>
      </c>
      <c r="F570" t="s">
        <v>3562</v>
      </c>
      <c r="G570" t="s">
        <v>5189</v>
      </c>
    </row>
    <row r="571" customHeight="1" spans="1:7">
      <c r="A571" t="s">
        <v>16</v>
      </c>
      <c r="B571" t="s">
        <v>5140</v>
      </c>
      <c r="C571" t="s">
        <v>5141</v>
      </c>
      <c r="D571" t="s">
        <v>5190</v>
      </c>
      <c r="E571" t="s">
        <v>5191</v>
      </c>
      <c r="F571" t="s">
        <v>3562</v>
      </c>
      <c r="G571" t="s">
        <v>5192</v>
      </c>
    </row>
    <row r="572" customHeight="1" spans="1:7">
      <c r="A572" t="s">
        <v>16</v>
      </c>
      <c r="B572" t="s">
        <v>5140</v>
      </c>
      <c r="C572" t="s">
        <v>5141</v>
      </c>
      <c r="D572" t="s">
        <v>5193</v>
      </c>
      <c r="E572" t="s">
        <v>5194</v>
      </c>
      <c r="F572" t="s">
        <v>3562</v>
      </c>
      <c r="G572" t="s">
        <v>5195</v>
      </c>
    </row>
    <row r="573" customHeight="1" spans="1:7">
      <c r="A573" t="s">
        <v>16</v>
      </c>
      <c r="B573" t="s">
        <v>5140</v>
      </c>
      <c r="C573" t="s">
        <v>5141</v>
      </c>
      <c r="D573" t="s">
        <v>5196</v>
      </c>
      <c r="E573" t="s">
        <v>5197</v>
      </c>
      <c r="F573" t="s">
        <v>3562</v>
      </c>
      <c r="G573" t="s">
        <v>5198</v>
      </c>
    </row>
    <row r="574" customHeight="1" spans="1:7">
      <c r="A574" t="s">
        <v>16</v>
      </c>
      <c r="B574" t="s">
        <v>5140</v>
      </c>
      <c r="C574" t="s">
        <v>5141</v>
      </c>
      <c r="D574" t="s">
        <v>5199</v>
      </c>
      <c r="E574" t="s">
        <v>5200</v>
      </c>
      <c r="F574" t="s">
        <v>3562</v>
      </c>
      <c r="G574" t="s">
        <v>5201</v>
      </c>
    </row>
    <row r="575" customHeight="1" spans="1:7">
      <c r="A575" t="s">
        <v>16</v>
      </c>
      <c r="B575" t="s">
        <v>5140</v>
      </c>
      <c r="C575" t="s">
        <v>5141</v>
      </c>
      <c r="D575" t="s">
        <v>5202</v>
      </c>
      <c r="E575" t="s">
        <v>5203</v>
      </c>
      <c r="F575" t="s">
        <v>3562</v>
      </c>
      <c r="G575" t="s">
        <v>5204</v>
      </c>
    </row>
    <row r="576" customHeight="1" spans="1:7">
      <c r="A576" t="s">
        <v>16</v>
      </c>
      <c r="B576" t="s">
        <v>5140</v>
      </c>
      <c r="C576" t="s">
        <v>5141</v>
      </c>
      <c r="D576" t="s">
        <v>5205</v>
      </c>
      <c r="E576" t="s">
        <v>5206</v>
      </c>
      <c r="F576" t="s">
        <v>3562</v>
      </c>
      <c r="G576" t="s">
        <v>5207</v>
      </c>
    </row>
    <row r="577" customHeight="1" spans="1:7">
      <c r="A577" t="s">
        <v>16</v>
      </c>
      <c r="B577" t="s">
        <v>5140</v>
      </c>
      <c r="C577" t="s">
        <v>5141</v>
      </c>
      <c r="D577" t="s">
        <v>5208</v>
      </c>
      <c r="E577" t="s">
        <v>5209</v>
      </c>
      <c r="F577" t="s">
        <v>3562</v>
      </c>
      <c r="G577" t="s">
        <v>5210</v>
      </c>
    </row>
    <row r="578" customHeight="1" spans="1:7">
      <c r="A578" t="s">
        <v>16</v>
      </c>
      <c r="B578" t="s">
        <v>5140</v>
      </c>
      <c r="C578" t="s">
        <v>5141</v>
      </c>
      <c r="D578" t="s">
        <v>5211</v>
      </c>
      <c r="E578" t="s">
        <v>5212</v>
      </c>
      <c r="F578" t="s">
        <v>3562</v>
      </c>
      <c r="G578" t="s">
        <v>5213</v>
      </c>
    </row>
    <row r="579" customHeight="1" spans="1:7">
      <c r="A579" t="s">
        <v>16</v>
      </c>
      <c r="B579" t="s">
        <v>5140</v>
      </c>
      <c r="C579" t="s">
        <v>5141</v>
      </c>
      <c r="D579" t="s">
        <v>5214</v>
      </c>
      <c r="E579" t="s">
        <v>5215</v>
      </c>
      <c r="F579" t="s">
        <v>3562</v>
      </c>
      <c r="G579" t="s">
        <v>5216</v>
      </c>
    </row>
    <row r="580" customHeight="1" spans="1:7">
      <c r="A580" t="s">
        <v>16</v>
      </c>
      <c r="B580" t="s">
        <v>5217</v>
      </c>
      <c r="C580" t="s">
        <v>5218</v>
      </c>
      <c r="D580" t="s">
        <v>5219</v>
      </c>
      <c r="E580" t="s">
        <v>5220</v>
      </c>
      <c r="F580" t="s">
        <v>3562</v>
      </c>
      <c r="G580" t="s">
        <v>5221</v>
      </c>
    </row>
    <row r="581" customHeight="1" spans="1:7">
      <c r="A581" t="s">
        <v>16</v>
      </c>
      <c r="B581" t="s">
        <v>5217</v>
      </c>
      <c r="C581" t="s">
        <v>5218</v>
      </c>
      <c r="D581" t="s">
        <v>5222</v>
      </c>
      <c r="E581" t="s">
        <v>5223</v>
      </c>
      <c r="F581" t="s">
        <v>3562</v>
      </c>
      <c r="G581" t="s">
        <v>5224</v>
      </c>
    </row>
    <row r="582" customHeight="1" spans="1:7">
      <c r="A582" t="s">
        <v>16</v>
      </c>
      <c r="B582" t="s">
        <v>5217</v>
      </c>
      <c r="C582" t="s">
        <v>5218</v>
      </c>
      <c r="D582" t="s">
        <v>5225</v>
      </c>
      <c r="E582" t="s">
        <v>5226</v>
      </c>
      <c r="F582" t="s">
        <v>3567</v>
      </c>
      <c r="G582" t="s">
        <v>5227</v>
      </c>
    </row>
    <row r="583" customHeight="1" spans="1:7">
      <c r="A583" t="s">
        <v>16</v>
      </c>
      <c r="B583" t="s">
        <v>5217</v>
      </c>
      <c r="C583" t="s">
        <v>5218</v>
      </c>
      <c r="D583" t="s">
        <v>5228</v>
      </c>
      <c r="E583" t="s">
        <v>5229</v>
      </c>
      <c r="F583" t="s">
        <v>3562</v>
      </c>
      <c r="G583" t="s">
        <v>5230</v>
      </c>
    </row>
    <row r="584" customHeight="1" spans="1:7">
      <c r="A584" t="s">
        <v>16</v>
      </c>
      <c r="B584" t="s">
        <v>5217</v>
      </c>
      <c r="C584" t="s">
        <v>5218</v>
      </c>
      <c r="D584" t="s">
        <v>5231</v>
      </c>
      <c r="E584" t="s">
        <v>5232</v>
      </c>
      <c r="F584" t="s">
        <v>3562</v>
      </c>
      <c r="G584" t="s">
        <v>5233</v>
      </c>
    </row>
    <row r="585" customHeight="1" spans="1:7">
      <c r="A585" t="s">
        <v>16</v>
      </c>
      <c r="B585" t="s">
        <v>5217</v>
      </c>
      <c r="C585" t="s">
        <v>5218</v>
      </c>
      <c r="D585" t="s">
        <v>5234</v>
      </c>
      <c r="E585" t="s">
        <v>5235</v>
      </c>
      <c r="F585" t="s">
        <v>3562</v>
      </c>
      <c r="G585" t="s">
        <v>5236</v>
      </c>
    </row>
    <row r="586" customHeight="1" spans="1:7">
      <c r="A586" t="s">
        <v>16</v>
      </c>
      <c r="B586" t="s">
        <v>5217</v>
      </c>
      <c r="C586" t="s">
        <v>5218</v>
      </c>
      <c r="D586" t="s">
        <v>5237</v>
      </c>
      <c r="E586" t="s">
        <v>5238</v>
      </c>
      <c r="F586" t="s">
        <v>3562</v>
      </c>
      <c r="G586" t="s">
        <v>5239</v>
      </c>
    </row>
    <row r="587" customHeight="1" spans="1:7">
      <c r="A587" t="s">
        <v>16</v>
      </c>
      <c r="B587" t="s">
        <v>5217</v>
      </c>
      <c r="C587" t="s">
        <v>5218</v>
      </c>
      <c r="D587" t="s">
        <v>5240</v>
      </c>
      <c r="E587" t="s">
        <v>5241</v>
      </c>
      <c r="F587" t="s">
        <v>3562</v>
      </c>
      <c r="G587" t="s">
        <v>5242</v>
      </c>
    </row>
    <row r="588" customHeight="1" spans="1:7">
      <c r="A588" t="s">
        <v>16</v>
      </c>
      <c r="B588" t="s">
        <v>5217</v>
      </c>
      <c r="C588" t="s">
        <v>5218</v>
      </c>
      <c r="D588" t="s">
        <v>5243</v>
      </c>
      <c r="E588" t="s">
        <v>5244</v>
      </c>
      <c r="F588" t="s">
        <v>3562</v>
      </c>
      <c r="G588" t="s">
        <v>5245</v>
      </c>
    </row>
    <row r="589" customHeight="1" spans="1:7">
      <c r="A589" t="s">
        <v>16</v>
      </c>
      <c r="B589" t="s">
        <v>5217</v>
      </c>
      <c r="C589" t="s">
        <v>5218</v>
      </c>
      <c r="D589" t="s">
        <v>5246</v>
      </c>
      <c r="E589" t="s">
        <v>5247</v>
      </c>
      <c r="F589" t="s">
        <v>3562</v>
      </c>
      <c r="G589" t="s">
        <v>5248</v>
      </c>
    </row>
    <row r="590" customHeight="1" spans="1:7">
      <c r="A590" t="s">
        <v>16</v>
      </c>
      <c r="B590" t="s">
        <v>5217</v>
      </c>
      <c r="C590" t="s">
        <v>5218</v>
      </c>
      <c r="D590" t="s">
        <v>5249</v>
      </c>
      <c r="E590" t="s">
        <v>5250</v>
      </c>
      <c r="F590" t="s">
        <v>3562</v>
      </c>
      <c r="G590" t="s">
        <v>5251</v>
      </c>
    </row>
    <row r="591" customHeight="1" spans="1:7">
      <c r="A591" t="s">
        <v>16</v>
      </c>
      <c r="B591" t="s">
        <v>5217</v>
      </c>
      <c r="C591" t="s">
        <v>5218</v>
      </c>
      <c r="D591" t="s">
        <v>5217</v>
      </c>
      <c r="E591" t="s">
        <v>5218</v>
      </c>
      <c r="F591" t="s">
        <v>3559</v>
      </c>
      <c r="G591" t="s">
        <v>5252</v>
      </c>
    </row>
    <row r="592" customHeight="1" spans="1:7">
      <c r="A592" t="s">
        <v>16</v>
      </c>
      <c r="B592" t="s">
        <v>5217</v>
      </c>
      <c r="C592" t="s">
        <v>5218</v>
      </c>
      <c r="D592" t="s">
        <v>5253</v>
      </c>
      <c r="E592" t="s">
        <v>5254</v>
      </c>
      <c r="F592" t="s">
        <v>3562</v>
      </c>
      <c r="G592" t="s">
        <v>5255</v>
      </c>
    </row>
    <row r="593" customHeight="1" spans="1:7">
      <c r="A593" t="s">
        <v>16</v>
      </c>
      <c r="B593" t="s">
        <v>5217</v>
      </c>
      <c r="C593" t="s">
        <v>5218</v>
      </c>
      <c r="D593" t="s">
        <v>5256</v>
      </c>
      <c r="E593" t="s">
        <v>5257</v>
      </c>
      <c r="F593" t="s">
        <v>3562</v>
      </c>
      <c r="G593" t="s">
        <v>5258</v>
      </c>
    </row>
    <row r="594" customHeight="1" spans="1:7">
      <c r="A594" t="s">
        <v>16</v>
      </c>
      <c r="B594" t="s">
        <v>5217</v>
      </c>
      <c r="C594" t="s">
        <v>5218</v>
      </c>
      <c r="D594" t="s">
        <v>5259</v>
      </c>
      <c r="E594" t="s">
        <v>5260</v>
      </c>
      <c r="F594" t="s">
        <v>3562</v>
      </c>
      <c r="G594" t="s">
        <v>5261</v>
      </c>
    </row>
    <row r="595" customHeight="1" spans="1:7">
      <c r="A595" t="s">
        <v>16</v>
      </c>
      <c r="B595" t="s">
        <v>5217</v>
      </c>
      <c r="C595" t="s">
        <v>5218</v>
      </c>
      <c r="D595" t="s">
        <v>5262</v>
      </c>
      <c r="E595" t="s">
        <v>5263</v>
      </c>
      <c r="F595" t="s">
        <v>3562</v>
      </c>
      <c r="G595" t="s">
        <v>5264</v>
      </c>
    </row>
    <row r="596" customHeight="1" spans="1:7">
      <c r="A596" t="s">
        <v>16</v>
      </c>
      <c r="B596" t="s">
        <v>5217</v>
      </c>
      <c r="C596" t="s">
        <v>5218</v>
      </c>
      <c r="D596" t="s">
        <v>5265</v>
      </c>
      <c r="E596" t="s">
        <v>5266</v>
      </c>
      <c r="F596" t="s">
        <v>3562</v>
      </c>
      <c r="G596" t="s">
        <v>5267</v>
      </c>
    </row>
    <row r="597" customHeight="1" spans="1:7">
      <c r="A597" t="s">
        <v>16</v>
      </c>
      <c r="B597" t="s">
        <v>5217</v>
      </c>
      <c r="C597" t="s">
        <v>5218</v>
      </c>
      <c r="D597" t="s">
        <v>5024</v>
      </c>
      <c r="E597" t="s">
        <v>5268</v>
      </c>
      <c r="F597" t="s">
        <v>3562</v>
      </c>
      <c r="G597" t="s">
        <v>5269</v>
      </c>
    </row>
    <row r="598" customHeight="1" spans="1:7">
      <c r="A598" t="s">
        <v>16</v>
      </c>
      <c r="B598" t="s">
        <v>5217</v>
      </c>
      <c r="C598" t="s">
        <v>5218</v>
      </c>
      <c r="D598" t="s">
        <v>5270</v>
      </c>
      <c r="E598" t="s">
        <v>5271</v>
      </c>
      <c r="F598" t="s">
        <v>3562</v>
      </c>
      <c r="G598" t="s">
        <v>5272</v>
      </c>
    </row>
    <row r="599" customHeight="1" spans="1:7">
      <c r="A599" t="s">
        <v>16</v>
      </c>
      <c r="B599" t="s">
        <v>5217</v>
      </c>
      <c r="C599" t="s">
        <v>5218</v>
      </c>
      <c r="D599" t="s">
        <v>5273</v>
      </c>
      <c r="E599" t="s">
        <v>5274</v>
      </c>
      <c r="F599" t="s">
        <v>3562</v>
      </c>
      <c r="G599" t="s">
        <v>5275</v>
      </c>
    </row>
    <row r="600" customHeight="1" spans="1:7">
      <c r="A600" t="s">
        <v>16</v>
      </c>
      <c r="B600" t="s">
        <v>5217</v>
      </c>
      <c r="C600" t="s">
        <v>5218</v>
      </c>
      <c r="D600" t="s">
        <v>5276</v>
      </c>
      <c r="E600" t="s">
        <v>5277</v>
      </c>
      <c r="F600" t="s">
        <v>3562</v>
      </c>
      <c r="G600" t="s">
        <v>5278</v>
      </c>
    </row>
    <row r="601" customHeight="1" spans="1:7">
      <c r="A601" t="s">
        <v>16</v>
      </c>
      <c r="B601" t="s">
        <v>5217</v>
      </c>
      <c r="C601" t="s">
        <v>5218</v>
      </c>
      <c r="D601" t="s">
        <v>5279</v>
      </c>
      <c r="E601" t="s">
        <v>5280</v>
      </c>
      <c r="F601" t="s">
        <v>3562</v>
      </c>
      <c r="G601" t="s">
        <v>5281</v>
      </c>
    </row>
    <row r="602" customHeight="1" spans="1:7">
      <c r="A602" t="s">
        <v>16</v>
      </c>
      <c r="B602" t="s">
        <v>5217</v>
      </c>
      <c r="C602" t="s">
        <v>5218</v>
      </c>
      <c r="D602" t="s">
        <v>5282</v>
      </c>
      <c r="E602" t="s">
        <v>5283</v>
      </c>
      <c r="F602" t="s">
        <v>3562</v>
      </c>
      <c r="G602" t="s">
        <v>5284</v>
      </c>
    </row>
    <row r="603" customHeight="1" spans="1:7">
      <c r="A603" t="s">
        <v>16</v>
      </c>
      <c r="B603" t="s">
        <v>5217</v>
      </c>
      <c r="C603" t="s">
        <v>5218</v>
      </c>
      <c r="D603" t="s">
        <v>5285</v>
      </c>
      <c r="E603" t="s">
        <v>5286</v>
      </c>
      <c r="F603" t="s">
        <v>3562</v>
      </c>
      <c r="G603" t="s">
        <v>5287</v>
      </c>
    </row>
    <row r="604" customHeight="1" spans="1:7">
      <c r="A604" t="s">
        <v>16</v>
      </c>
      <c r="B604" t="s">
        <v>5217</v>
      </c>
      <c r="C604" t="s">
        <v>5218</v>
      </c>
      <c r="D604" t="s">
        <v>5288</v>
      </c>
      <c r="E604" t="s">
        <v>5289</v>
      </c>
      <c r="F604" t="s">
        <v>3562</v>
      </c>
      <c r="G604" t="s">
        <v>5290</v>
      </c>
    </row>
    <row r="605" customHeight="1" spans="1:7">
      <c r="A605" t="s">
        <v>16</v>
      </c>
      <c r="B605" t="s">
        <v>5217</v>
      </c>
      <c r="C605" t="s">
        <v>5218</v>
      </c>
      <c r="D605" t="s">
        <v>5291</v>
      </c>
      <c r="E605" t="s">
        <v>5292</v>
      </c>
      <c r="F605" t="s">
        <v>3562</v>
      </c>
      <c r="G605" t="s">
        <v>5293</v>
      </c>
    </row>
    <row r="606" customHeight="1" spans="1:7">
      <c r="A606" t="s">
        <v>16</v>
      </c>
      <c r="B606" t="s">
        <v>5217</v>
      </c>
      <c r="C606" t="s">
        <v>5218</v>
      </c>
      <c r="D606" t="s">
        <v>5294</v>
      </c>
      <c r="E606" t="s">
        <v>5295</v>
      </c>
      <c r="F606" t="s">
        <v>3562</v>
      </c>
      <c r="G606" t="s">
        <v>5296</v>
      </c>
    </row>
    <row r="607" customHeight="1" spans="1:7">
      <c r="A607" t="s">
        <v>16</v>
      </c>
      <c r="B607" t="s">
        <v>5217</v>
      </c>
      <c r="C607" t="s">
        <v>5218</v>
      </c>
      <c r="D607" t="s">
        <v>5297</v>
      </c>
      <c r="E607" t="s">
        <v>5298</v>
      </c>
      <c r="F607" t="s">
        <v>3562</v>
      </c>
      <c r="G607" t="s">
        <v>5299</v>
      </c>
    </row>
    <row r="608" customHeight="1" spans="1:7">
      <c r="A608" t="s">
        <v>16</v>
      </c>
      <c r="B608" t="s">
        <v>5217</v>
      </c>
      <c r="C608" t="s">
        <v>5218</v>
      </c>
      <c r="D608" t="s">
        <v>5300</v>
      </c>
      <c r="E608" t="s">
        <v>5301</v>
      </c>
      <c r="F608" t="s">
        <v>3562</v>
      </c>
      <c r="G608" t="s">
        <v>5302</v>
      </c>
    </row>
    <row r="609" customHeight="1" spans="1:7">
      <c r="A609" t="s">
        <v>16</v>
      </c>
      <c r="B609" t="s">
        <v>5217</v>
      </c>
      <c r="C609" t="s">
        <v>5218</v>
      </c>
      <c r="D609" t="s">
        <v>5303</v>
      </c>
      <c r="E609" t="s">
        <v>5304</v>
      </c>
      <c r="F609" t="s">
        <v>3562</v>
      </c>
      <c r="G609" t="s">
        <v>5305</v>
      </c>
    </row>
    <row r="610" customHeight="1" spans="1:7">
      <c r="A610" t="s">
        <v>16</v>
      </c>
      <c r="B610" t="s">
        <v>5306</v>
      </c>
      <c r="C610" t="s">
        <v>5307</v>
      </c>
      <c r="D610" t="s">
        <v>5308</v>
      </c>
      <c r="E610" t="s">
        <v>5309</v>
      </c>
      <c r="F610" t="s">
        <v>3562</v>
      </c>
      <c r="G610" t="s">
        <v>5310</v>
      </c>
    </row>
    <row r="611" customHeight="1" spans="1:7">
      <c r="A611" t="s">
        <v>16</v>
      </c>
      <c r="B611" t="s">
        <v>5306</v>
      </c>
      <c r="C611" t="s">
        <v>5307</v>
      </c>
      <c r="D611" t="s">
        <v>5311</v>
      </c>
      <c r="E611" t="s">
        <v>5312</v>
      </c>
      <c r="F611" t="s">
        <v>3562</v>
      </c>
      <c r="G611" t="s">
        <v>5313</v>
      </c>
    </row>
    <row r="612" customHeight="1" spans="1:7">
      <c r="A612" t="s">
        <v>16</v>
      </c>
      <c r="B612" t="s">
        <v>5306</v>
      </c>
      <c r="C612" t="s">
        <v>5307</v>
      </c>
      <c r="D612" t="s">
        <v>5314</v>
      </c>
      <c r="E612" t="s">
        <v>5315</v>
      </c>
      <c r="F612" t="s">
        <v>3562</v>
      </c>
      <c r="G612" t="s">
        <v>5316</v>
      </c>
    </row>
    <row r="613" customHeight="1" spans="1:7">
      <c r="A613" t="s">
        <v>16</v>
      </c>
      <c r="B613" t="s">
        <v>5306</v>
      </c>
      <c r="C613" t="s">
        <v>5307</v>
      </c>
      <c r="D613" t="s">
        <v>5317</v>
      </c>
      <c r="E613" t="s">
        <v>5318</v>
      </c>
      <c r="F613" t="s">
        <v>3567</v>
      </c>
      <c r="G613" t="s">
        <v>5319</v>
      </c>
    </row>
    <row r="614" customHeight="1" spans="1:7">
      <c r="A614" t="s">
        <v>16</v>
      </c>
      <c r="B614" t="s">
        <v>5306</v>
      </c>
      <c r="C614" t="s">
        <v>5307</v>
      </c>
      <c r="D614" t="s">
        <v>5320</v>
      </c>
      <c r="E614" t="s">
        <v>5321</v>
      </c>
      <c r="F614" t="s">
        <v>3562</v>
      </c>
      <c r="G614" t="s">
        <v>5322</v>
      </c>
    </row>
    <row r="615" customHeight="1" spans="1:7">
      <c r="A615" t="s">
        <v>16</v>
      </c>
      <c r="B615" t="s">
        <v>5306</v>
      </c>
      <c r="C615" t="s">
        <v>5307</v>
      </c>
      <c r="D615" t="s">
        <v>5323</v>
      </c>
      <c r="E615" t="s">
        <v>5324</v>
      </c>
      <c r="F615" t="s">
        <v>3562</v>
      </c>
      <c r="G615" t="s">
        <v>5325</v>
      </c>
    </row>
    <row r="616" customHeight="1" spans="1:7">
      <c r="A616" t="s">
        <v>16</v>
      </c>
      <c r="B616" t="s">
        <v>5306</v>
      </c>
      <c r="C616" t="s">
        <v>5307</v>
      </c>
      <c r="D616" t="s">
        <v>5326</v>
      </c>
      <c r="E616" t="s">
        <v>5327</v>
      </c>
      <c r="F616" t="s">
        <v>3562</v>
      </c>
      <c r="G616" t="s">
        <v>5328</v>
      </c>
    </row>
    <row r="617" customHeight="1" spans="1:7">
      <c r="A617" t="s">
        <v>16</v>
      </c>
      <c r="B617" t="s">
        <v>5306</v>
      </c>
      <c r="C617" t="s">
        <v>5307</v>
      </c>
      <c r="D617" t="s">
        <v>5306</v>
      </c>
      <c r="E617" t="s">
        <v>5307</v>
      </c>
      <c r="F617" t="s">
        <v>3559</v>
      </c>
      <c r="G617" t="s">
        <v>5329</v>
      </c>
    </row>
    <row r="618" customHeight="1" spans="1:7">
      <c r="A618" t="s">
        <v>16</v>
      </c>
      <c r="B618" t="s">
        <v>5306</v>
      </c>
      <c r="C618" t="s">
        <v>5307</v>
      </c>
      <c r="D618" t="s">
        <v>5330</v>
      </c>
      <c r="E618" t="s">
        <v>5331</v>
      </c>
      <c r="F618" t="s">
        <v>3562</v>
      </c>
      <c r="G618" t="s">
        <v>5332</v>
      </c>
    </row>
    <row r="619" customHeight="1" spans="1:7">
      <c r="A619" t="s">
        <v>16</v>
      </c>
      <c r="B619" t="s">
        <v>5306</v>
      </c>
      <c r="C619" t="s">
        <v>5307</v>
      </c>
      <c r="D619" t="s">
        <v>5333</v>
      </c>
      <c r="E619" t="s">
        <v>5334</v>
      </c>
      <c r="F619" t="s">
        <v>3562</v>
      </c>
      <c r="G619" t="s">
        <v>5335</v>
      </c>
    </row>
    <row r="620" customHeight="1" spans="1:7">
      <c r="A620" t="s">
        <v>16</v>
      </c>
      <c r="B620" t="s">
        <v>5306</v>
      </c>
      <c r="C620" t="s">
        <v>5307</v>
      </c>
      <c r="D620" t="s">
        <v>5336</v>
      </c>
      <c r="E620" t="s">
        <v>5337</v>
      </c>
      <c r="F620" t="s">
        <v>3562</v>
      </c>
      <c r="G620" t="s">
        <v>5338</v>
      </c>
    </row>
    <row r="621" customHeight="1" spans="1:7">
      <c r="A621" t="s">
        <v>16</v>
      </c>
      <c r="B621" t="s">
        <v>5306</v>
      </c>
      <c r="C621" t="s">
        <v>5307</v>
      </c>
      <c r="D621" t="s">
        <v>5339</v>
      </c>
      <c r="E621" t="s">
        <v>5340</v>
      </c>
      <c r="F621" t="s">
        <v>3562</v>
      </c>
      <c r="G621" t="s">
        <v>5341</v>
      </c>
    </row>
    <row r="622" customHeight="1" spans="1:7">
      <c r="A622" t="s">
        <v>16</v>
      </c>
      <c r="B622" t="s">
        <v>5306</v>
      </c>
      <c r="C622" t="s">
        <v>5307</v>
      </c>
      <c r="D622" t="s">
        <v>5342</v>
      </c>
      <c r="E622" t="s">
        <v>5343</v>
      </c>
      <c r="F622" t="s">
        <v>3562</v>
      </c>
      <c r="G622" t="s">
        <v>5344</v>
      </c>
    </row>
    <row r="623" customHeight="1" spans="1:7">
      <c r="A623" t="s">
        <v>16</v>
      </c>
      <c r="B623" t="s">
        <v>5306</v>
      </c>
      <c r="C623" t="s">
        <v>5307</v>
      </c>
      <c r="D623" t="s">
        <v>5345</v>
      </c>
      <c r="E623" t="s">
        <v>5346</v>
      </c>
      <c r="F623" t="s">
        <v>3562</v>
      </c>
      <c r="G623" t="s">
        <v>5347</v>
      </c>
    </row>
    <row r="624" customHeight="1" spans="1:7">
      <c r="A624" t="s">
        <v>16</v>
      </c>
      <c r="B624" t="s">
        <v>5306</v>
      </c>
      <c r="C624" t="s">
        <v>5307</v>
      </c>
      <c r="D624" t="s">
        <v>5348</v>
      </c>
      <c r="E624" t="s">
        <v>5349</v>
      </c>
      <c r="F624" t="s">
        <v>3562</v>
      </c>
      <c r="G624" t="s">
        <v>5350</v>
      </c>
    </row>
    <row r="625" customHeight="1" spans="1:7">
      <c r="A625" t="s">
        <v>16</v>
      </c>
      <c r="B625" t="s">
        <v>5306</v>
      </c>
      <c r="C625" t="s">
        <v>5307</v>
      </c>
      <c r="D625" t="s">
        <v>5351</v>
      </c>
      <c r="E625" t="s">
        <v>5352</v>
      </c>
      <c r="F625" t="s">
        <v>3562</v>
      </c>
      <c r="G625" t="s">
        <v>5353</v>
      </c>
    </row>
    <row r="626" customHeight="1" spans="1:7">
      <c r="A626" t="s">
        <v>16</v>
      </c>
      <c r="B626" t="s">
        <v>5354</v>
      </c>
      <c r="C626" t="s">
        <v>5355</v>
      </c>
      <c r="D626" t="s">
        <v>5356</v>
      </c>
      <c r="E626" t="s">
        <v>5357</v>
      </c>
      <c r="F626" t="s">
        <v>3562</v>
      </c>
      <c r="G626" t="s">
        <v>5358</v>
      </c>
    </row>
    <row r="627" customHeight="1" spans="1:7">
      <c r="A627" t="s">
        <v>16</v>
      </c>
      <c r="B627" t="s">
        <v>5354</v>
      </c>
      <c r="C627" t="s">
        <v>5355</v>
      </c>
      <c r="D627" t="s">
        <v>5359</v>
      </c>
      <c r="E627" t="s">
        <v>5360</v>
      </c>
      <c r="F627" t="s">
        <v>3562</v>
      </c>
      <c r="G627" t="s">
        <v>5361</v>
      </c>
    </row>
    <row r="628" customHeight="1" spans="1:7">
      <c r="A628" t="s">
        <v>16</v>
      </c>
      <c r="B628" t="s">
        <v>5354</v>
      </c>
      <c r="C628" t="s">
        <v>5355</v>
      </c>
      <c r="D628" t="s">
        <v>5362</v>
      </c>
      <c r="E628" t="s">
        <v>5363</v>
      </c>
      <c r="F628" t="s">
        <v>3562</v>
      </c>
      <c r="G628" t="s">
        <v>5364</v>
      </c>
    </row>
    <row r="629" customHeight="1" spans="1:7">
      <c r="A629" t="s">
        <v>16</v>
      </c>
      <c r="B629" t="s">
        <v>5354</v>
      </c>
      <c r="C629" t="s">
        <v>5355</v>
      </c>
      <c r="D629" t="s">
        <v>5365</v>
      </c>
      <c r="E629" t="s">
        <v>5366</v>
      </c>
      <c r="F629" t="s">
        <v>3562</v>
      </c>
      <c r="G629" t="s">
        <v>5367</v>
      </c>
    </row>
    <row r="630" customHeight="1" spans="1:7">
      <c r="A630" t="s">
        <v>16</v>
      </c>
      <c r="B630" t="s">
        <v>5354</v>
      </c>
      <c r="C630" t="s">
        <v>5355</v>
      </c>
      <c r="D630" t="s">
        <v>5368</v>
      </c>
      <c r="E630" t="s">
        <v>5369</v>
      </c>
      <c r="F630" t="s">
        <v>3567</v>
      </c>
      <c r="G630" t="s">
        <v>5370</v>
      </c>
    </row>
    <row r="631" customHeight="1" spans="1:7">
      <c r="A631" t="s">
        <v>16</v>
      </c>
      <c r="B631" t="s">
        <v>5354</v>
      </c>
      <c r="C631" t="s">
        <v>5355</v>
      </c>
      <c r="D631" t="s">
        <v>5371</v>
      </c>
      <c r="E631" t="s">
        <v>5372</v>
      </c>
      <c r="F631" t="s">
        <v>3562</v>
      </c>
      <c r="G631" t="s">
        <v>5373</v>
      </c>
    </row>
    <row r="632" customHeight="1" spans="1:7">
      <c r="A632" t="s">
        <v>16</v>
      </c>
      <c r="B632" t="s">
        <v>5354</v>
      </c>
      <c r="C632" t="s">
        <v>5355</v>
      </c>
      <c r="D632" t="s">
        <v>3574</v>
      </c>
      <c r="E632" t="s">
        <v>5374</v>
      </c>
      <c r="F632" t="s">
        <v>3562</v>
      </c>
      <c r="G632" t="s">
        <v>5375</v>
      </c>
    </row>
    <row r="633" customHeight="1" spans="1:7">
      <c r="A633" t="s">
        <v>16</v>
      </c>
      <c r="B633" t="s">
        <v>5354</v>
      </c>
      <c r="C633" t="s">
        <v>5355</v>
      </c>
      <c r="D633" t="s">
        <v>5376</v>
      </c>
      <c r="E633" t="s">
        <v>5377</v>
      </c>
      <c r="F633" t="s">
        <v>3562</v>
      </c>
      <c r="G633" t="s">
        <v>5378</v>
      </c>
    </row>
    <row r="634" customHeight="1" spans="1:7">
      <c r="A634" t="s">
        <v>16</v>
      </c>
      <c r="B634" t="s">
        <v>5354</v>
      </c>
      <c r="C634" t="s">
        <v>5355</v>
      </c>
      <c r="D634" t="s">
        <v>5379</v>
      </c>
      <c r="E634" t="s">
        <v>5380</v>
      </c>
      <c r="F634" t="s">
        <v>3562</v>
      </c>
      <c r="G634" t="s">
        <v>5381</v>
      </c>
    </row>
    <row r="635" customHeight="1" spans="1:7">
      <c r="A635" t="s">
        <v>16</v>
      </c>
      <c r="B635" t="s">
        <v>5354</v>
      </c>
      <c r="C635" t="s">
        <v>5355</v>
      </c>
      <c r="D635" t="s">
        <v>5354</v>
      </c>
      <c r="E635" t="s">
        <v>5355</v>
      </c>
      <c r="F635" t="s">
        <v>3559</v>
      </c>
      <c r="G635" t="s">
        <v>5382</v>
      </c>
    </row>
    <row r="636" customHeight="1" spans="1:7">
      <c r="A636" t="s">
        <v>16</v>
      </c>
      <c r="B636" t="s">
        <v>5354</v>
      </c>
      <c r="C636" t="s">
        <v>5355</v>
      </c>
      <c r="D636" t="s">
        <v>5383</v>
      </c>
      <c r="E636" t="s">
        <v>5384</v>
      </c>
      <c r="F636" t="s">
        <v>3562</v>
      </c>
      <c r="G636" t="s">
        <v>5385</v>
      </c>
    </row>
    <row r="637" customHeight="1" spans="1:7">
      <c r="A637" t="s">
        <v>16</v>
      </c>
      <c r="B637" t="s">
        <v>5354</v>
      </c>
      <c r="C637" t="s">
        <v>5355</v>
      </c>
      <c r="D637" t="s">
        <v>5386</v>
      </c>
      <c r="E637" t="s">
        <v>5387</v>
      </c>
      <c r="F637" t="s">
        <v>3562</v>
      </c>
      <c r="G637" t="s">
        <v>5388</v>
      </c>
    </row>
    <row r="638" customHeight="1" spans="1:7">
      <c r="A638" t="s">
        <v>16</v>
      </c>
      <c r="B638" t="s">
        <v>5354</v>
      </c>
      <c r="C638" t="s">
        <v>5355</v>
      </c>
      <c r="D638" t="s">
        <v>5389</v>
      </c>
      <c r="E638" t="s">
        <v>5390</v>
      </c>
      <c r="F638" t="s">
        <v>3562</v>
      </c>
      <c r="G638" t="s">
        <v>5391</v>
      </c>
    </row>
    <row r="639" customHeight="1" spans="1:7">
      <c r="A639" t="s">
        <v>16</v>
      </c>
      <c r="B639" t="s">
        <v>5354</v>
      </c>
      <c r="C639" t="s">
        <v>5355</v>
      </c>
      <c r="D639" t="s">
        <v>5392</v>
      </c>
      <c r="E639" t="s">
        <v>5393</v>
      </c>
      <c r="F639" t="s">
        <v>3562</v>
      </c>
      <c r="G639" t="s">
        <v>5394</v>
      </c>
    </row>
    <row r="640" customHeight="1" spans="1:7">
      <c r="A640" t="s">
        <v>16</v>
      </c>
      <c r="B640" t="s">
        <v>5354</v>
      </c>
      <c r="C640" t="s">
        <v>5355</v>
      </c>
      <c r="D640" t="s">
        <v>5395</v>
      </c>
      <c r="E640" t="s">
        <v>5396</v>
      </c>
      <c r="F640" t="s">
        <v>3562</v>
      </c>
      <c r="G640" t="s">
        <v>5397</v>
      </c>
    </row>
    <row r="641" customHeight="1" spans="1:7">
      <c r="A641" t="s">
        <v>16</v>
      </c>
      <c r="B641" t="s">
        <v>5354</v>
      </c>
      <c r="C641" t="s">
        <v>5355</v>
      </c>
      <c r="D641" t="s">
        <v>5398</v>
      </c>
      <c r="E641" t="s">
        <v>5399</v>
      </c>
      <c r="F641" t="s">
        <v>3562</v>
      </c>
      <c r="G641" t="s">
        <v>5400</v>
      </c>
    </row>
    <row r="642" customHeight="1" spans="1:7">
      <c r="A642" t="s">
        <v>16</v>
      </c>
      <c r="B642" t="s">
        <v>5354</v>
      </c>
      <c r="C642" t="s">
        <v>5355</v>
      </c>
      <c r="D642" t="s">
        <v>5401</v>
      </c>
      <c r="E642" t="s">
        <v>5402</v>
      </c>
      <c r="F642" t="s">
        <v>3562</v>
      </c>
      <c r="G642" t="s">
        <v>5403</v>
      </c>
    </row>
    <row r="643" customHeight="1" spans="1:7">
      <c r="A643" t="s">
        <v>16</v>
      </c>
      <c r="B643" t="s">
        <v>5354</v>
      </c>
      <c r="C643" t="s">
        <v>5355</v>
      </c>
      <c r="D643" t="s">
        <v>5404</v>
      </c>
      <c r="E643" t="s">
        <v>5405</v>
      </c>
      <c r="F643" t="s">
        <v>3562</v>
      </c>
      <c r="G643" t="s">
        <v>5406</v>
      </c>
    </row>
    <row r="644" customHeight="1" spans="1:7">
      <c r="A644" t="s">
        <v>16</v>
      </c>
      <c r="B644" t="s">
        <v>5354</v>
      </c>
      <c r="C644" t="s">
        <v>5355</v>
      </c>
      <c r="D644" t="s">
        <v>5407</v>
      </c>
      <c r="E644" t="s">
        <v>5408</v>
      </c>
      <c r="F644" t="s">
        <v>3562</v>
      </c>
      <c r="G644" t="s">
        <v>5409</v>
      </c>
    </row>
    <row r="645" customHeight="1" spans="1:7">
      <c r="A645" t="s">
        <v>16</v>
      </c>
      <c r="B645" t="s">
        <v>5354</v>
      </c>
      <c r="C645" t="s">
        <v>5355</v>
      </c>
      <c r="D645" t="s">
        <v>5410</v>
      </c>
      <c r="E645" t="s">
        <v>5411</v>
      </c>
      <c r="F645" t="s">
        <v>3562</v>
      </c>
      <c r="G645" t="s">
        <v>5412</v>
      </c>
    </row>
    <row r="646" customHeight="1" spans="1:7">
      <c r="A646" t="s">
        <v>16</v>
      </c>
      <c r="B646" t="s">
        <v>5354</v>
      </c>
      <c r="C646" t="s">
        <v>5355</v>
      </c>
      <c r="D646" t="s">
        <v>5413</v>
      </c>
      <c r="E646" t="s">
        <v>5414</v>
      </c>
      <c r="F646" t="s">
        <v>3562</v>
      </c>
      <c r="G646" t="s">
        <v>5415</v>
      </c>
    </row>
    <row r="647" customHeight="1" spans="1:7">
      <c r="A647" t="s">
        <v>16</v>
      </c>
      <c r="B647" t="s">
        <v>5416</v>
      </c>
      <c r="C647" t="s">
        <v>5417</v>
      </c>
      <c r="D647" t="s">
        <v>5418</v>
      </c>
      <c r="E647" t="s">
        <v>5419</v>
      </c>
      <c r="F647" t="s">
        <v>3562</v>
      </c>
      <c r="G647" t="s">
        <v>5420</v>
      </c>
    </row>
    <row r="648" customHeight="1" spans="1:7">
      <c r="A648" t="s">
        <v>16</v>
      </c>
      <c r="B648" t="s">
        <v>5416</v>
      </c>
      <c r="C648" t="s">
        <v>5417</v>
      </c>
      <c r="D648" t="s">
        <v>5421</v>
      </c>
      <c r="E648" t="s">
        <v>5422</v>
      </c>
      <c r="F648" t="s">
        <v>3562</v>
      </c>
      <c r="G648" t="s">
        <v>5423</v>
      </c>
    </row>
    <row r="649" customHeight="1" spans="1:7">
      <c r="A649" t="s">
        <v>16</v>
      </c>
      <c r="B649" t="s">
        <v>5416</v>
      </c>
      <c r="C649" t="s">
        <v>5417</v>
      </c>
      <c r="D649" t="s">
        <v>5424</v>
      </c>
      <c r="E649" t="s">
        <v>5425</v>
      </c>
      <c r="F649" t="s">
        <v>3562</v>
      </c>
      <c r="G649" t="s">
        <v>5426</v>
      </c>
    </row>
    <row r="650" customHeight="1" spans="1:7">
      <c r="A650" t="s">
        <v>16</v>
      </c>
      <c r="B650" t="s">
        <v>5416</v>
      </c>
      <c r="C650" t="s">
        <v>5417</v>
      </c>
      <c r="D650" t="s">
        <v>5427</v>
      </c>
      <c r="E650" t="s">
        <v>5428</v>
      </c>
      <c r="F650" t="s">
        <v>3562</v>
      </c>
      <c r="G650" t="s">
        <v>5429</v>
      </c>
    </row>
    <row r="651" customHeight="1" spans="1:7">
      <c r="A651" t="s">
        <v>16</v>
      </c>
      <c r="B651" t="s">
        <v>5416</v>
      </c>
      <c r="C651" t="s">
        <v>5417</v>
      </c>
      <c r="D651" t="s">
        <v>5430</v>
      </c>
      <c r="E651" t="s">
        <v>5431</v>
      </c>
      <c r="F651" t="s">
        <v>3562</v>
      </c>
      <c r="G651" t="s">
        <v>5432</v>
      </c>
    </row>
    <row r="652" customHeight="1" spans="1:7">
      <c r="A652" t="s">
        <v>16</v>
      </c>
      <c r="B652" t="s">
        <v>5416</v>
      </c>
      <c r="C652" t="s">
        <v>5417</v>
      </c>
      <c r="D652" t="s">
        <v>5433</v>
      </c>
      <c r="E652" t="s">
        <v>5434</v>
      </c>
      <c r="F652" t="s">
        <v>3562</v>
      </c>
      <c r="G652" t="s">
        <v>5435</v>
      </c>
    </row>
    <row r="653" customHeight="1" spans="1:7">
      <c r="A653" t="s">
        <v>16</v>
      </c>
      <c r="B653" t="s">
        <v>5416</v>
      </c>
      <c r="C653" t="s">
        <v>5417</v>
      </c>
      <c r="D653" t="s">
        <v>5436</v>
      </c>
      <c r="E653" t="s">
        <v>5437</v>
      </c>
      <c r="F653" t="s">
        <v>3562</v>
      </c>
      <c r="G653" t="s">
        <v>5438</v>
      </c>
    </row>
    <row r="654" customHeight="1" spans="1:7">
      <c r="A654" t="s">
        <v>16</v>
      </c>
      <c r="B654" t="s">
        <v>5416</v>
      </c>
      <c r="C654" t="s">
        <v>5417</v>
      </c>
      <c r="D654" t="s">
        <v>5439</v>
      </c>
      <c r="E654" t="s">
        <v>5440</v>
      </c>
      <c r="F654" t="s">
        <v>3562</v>
      </c>
      <c r="G654" t="s">
        <v>5441</v>
      </c>
    </row>
    <row r="655" customHeight="1" spans="1:7">
      <c r="A655" t="s">
        <v>16</v>
      </c>
      <c r="B655" t="s">
        <v>5416</v>
      </c>
      <c r="C655" t="s">
        <v>5417</v>
      </c>
      <c r="D655" t="s">
        <v>5442</v>
      </c>
      <c r="E655" t="s">
        <v>5443</v>
      </c>
      <c r="F655" t="s">
        <v>3562</v>
      </c>
      <c r="G655" t="s">
        <v>5444</v>
      </c>
    </row>
    <row r="656" customHeight="1" spans="1:7">
      <c r="A656" t="s">
        <v>16</v>
      </c>
      <c r="B656" t="s">
        <v>5416</v>
      </c>
      <c r="C656" t="s">
        <v>5417</v>
      </c>
      <c r="D656" t="s">
        <v>5445</v>
      </c>
      <c r="E656" t="s">
        <v>5446</v>
      </c>
      <c r="F656" t="s">
        <v>3562</v>
      </c>
      <c r="G656" t="s">
        <v>5447</v>
      </c>
    </row>
    <row r="657" customHeight="1" spans="1:7">
      <c r="A657" t="s">
        <v>16</v>
      </c>
      <c r="B657" t="s">
        <v>5416</v>
      </c>
      <c r="C657" t="s">
        <v>5417</v>
      </c>
      <c r="D657" t="s">
        <v>5416</v>
      </c>
      <c r="E657" t="s">
        <v>5417</v>
      </c>
      <c r="F657" t="s">
        <v>3559</v>
      </c>
      <c r="G657" t="s">
        <v>5448</v>
      </c>
    </row>
    <row r="658" customHeight="1" spans="1:7">
      <c r="A658" t="s">
        <v>16</v>
      </c>
      <c r="B658" t="s">
        <v>5416</v>
      </c>
      <c r="C658" t="s">
        <v>5417</v>
      </c>
      <c r="D658" t="s">
        <v>5449</v>
      </c>
      <c r="E658" t="s">
        <v>5450</v>
      </c>
      <c r="F658" t="s">
        <v>3562</v>
      </c>
      <c r="G658" t="s">
        <v>5451</v>
      </c>
    </row>
    <row r="659" customHeight="1" spans="1:7">
      <c r="A659" t="s">
        <v>16</v>
      </c>
      <c r="B659" t="s">
        <v>5416</v>
      </c>
      <c r="C659" t="s">
        <v>5417</v>
      </c>
      <c r="D659" t="s">
        <v>5452</v>
      </c>
      <c r="E659" t="s">
        <v>5453</v>
      </c>
      <c r="F659" t="s">
        <v>3562</v>
      </c>
      <c r="G659" t="s">
        <v>5454</v>
      </c>
    </row>
    <row r="660" customHeight="1" spans="1:7">
      <c r="A660" t="s">
        <v>16</v>
      </c>
      <c r="B660" t="s">
        <v>5416</v>
      </c>
      <c r="C660" t="s">
        <v>5417</v>
      </c>
      <c r="D660" t="s">
        <v>5455</v>
      </c>
      <c r="E660" t="s">
        <v>5456</v>
      </c>
      <c r="F660" t="s">
        <v>3562</v>
      </c>
      <c r="G660" t="s">
        <v>5457</v>
      </c>
    </row>
    <row r="661" customHeight="1" spans="1:7">
      <c r="A661" t="s">
        <v>16</v>
      </c>
      <c r="B661" t="s">
        <v>5416</v>
      </c>
      <c r="C661" t="s">
        <v>5417</v>
      </c>
      <c r="D661" t="s">
        <v>4506</v>
      </c>
      <c r="E661" t="s">
        <v>5458</v>
      </c>
      <c r="F661" t="s">
        <v>3562</v>
      </c>
      <c r="G661" t="s">
        <v>5459</v>
      </c>
    </row>
    <row r="662" customHeight="1" spans="1:7">
      <c r="A662" t="s">
        <v>16</v>
      </c>
      <c r="B662" t="s">
        <v>5416</v>
      </c>
      <c r="C662" t="s">
        <v>5417</v>
      </c>
      <c r="D662" t="s">
        <v>5460</v>
      </c>
      <c r="E662" t="s">
        <v>5461</v>
      </c>
      <c r="F662" t="s">
        <v>3562</v>
      </c>
      <c r="G662" t="s">
        <v>5462</v>
      </c>
    </row>
    <row r="663" customHeight="1" spans="1:7">
      <c r="A663" t="s">
        <v>16</v>
      </c>
      <c r="B663" t="s">
        <v>5416</v>
      </c>
      <c r="C663" t="s">
        <v>5417</v>
      </c>
      <c r="D663" t="s">
        <v>5463</v>
      </c>
      <c r="E663" t="s">
        <v>5464</v>
      </c>
      <c r="F663" t="s">
        <v>3562</v>
      </c>
      <c r="G663" t="s">
        <v>5465</v>
      </c>
    </row>
    <row r="664" customHeight="1" spans="1:7">
      <c r="A664" t="s">
        <v>16</v>
      </c>
      <c r="B664" t="s">
        <v>5416</v>
      </c>
      <c r="C664" t="s">
        <v>5417</v>
      </c>
      <c r="D664" t="s">
        <v>5466</v>
      </c>
      <c r="E664" t="s">
        <v>5467</v>
      </c>
      <c r="F664" t="s">
        <v>3562</v>
      </c>
      <c r="G664" t="s">
        <v>5468</v>
      </c>
    </row>
    <row r="665" customHeight="1" spans="1:7">
      <c r="A665" t="s">
        <v>16</v>
      </c>
      <c r="B665" t="s">
        <v>5416</v>
      </c>
      <c r="C665" t="s">
        <v>5417</v>
      </c>
      <c r="D665" t="s">
        <v>5469</v>
      </c>
      <c r="E665" t="s">
        <v>5470</v>
      </c>
      <c r="F665" t="s">
        <v>3562</v>
      </c>
      <c r="G665" t="s">
        <v>5471</v>
      </c>
    </row>
    <row r="666" customHeight="1" spans="1:7">
      <c r="A666" t="s">
        <v>16</v>
      </c>
      <c r="B666" t="s">
        <v>5416</v>
      </c>
      <c r="C666" t="s">
        <v>5417</v>
      </c>
      <c r="D666" t="s">
        <v>5472</v>
      </c>
      <c r="E666" t="s">
        <v>5473</v>
      </c>
      <c r="F666" t="s">
        <v>3562</v>
      </c>
      <c r="G666" t="s">
        <v>5474</v>
      </c>
    </row>
    <row r="667" customHeight="1" spans="1:7">
      <c r="A667" t="s">
        <v>16</v>
      </c>
      <c r="B667" t="s">
        <v>5475</v>
      </c>
      <c r="C667" t="s">
        <v>5476</v>
      </c>
      <c r="D667" t="s">
        <v>5477</v>
      </c>
      <c r="E667" t="s">
        <v>5478</v>
      </c>
      <c r="F667" t="s">
        <v>3562</v>
      </c>
      <c r="G667" t="s">
        <v>5479</v>
      </c>
    </row>
    <row r="668" customHeight="1" spans="1:7">
      <c r="A668" t="s">
        <v>16</v>
      </c>
      <c r="B668" t="s">
        <v>5475</v>
      </c>
      <c r="C668" t="s">
        <v>5476</v>
      </c>
      <c r="D668" t="s">
        <v>5480</v>
      </c>
      <c r="E668" t="s">
        <v>5481</v>
      </c>
      <c r="F668" t="s">
        <v>3567</v>
      </c>
      <c r="G668" t="s">
        <v>5482</v>
      </c>
    </row>
    <row r="669" customHeight="1" spans="1:7">
      <c r="A669" t="s">
        <v>16</v>
      </c>
      <c r="B669" t="s">
        <v>5475</v>
      </c>
      <c r="C669" t="s">
        <v>5476</v>
      </c>
      <c r="D669" t="s">
        <v>5483</v>
      </c>
      <c r="E669" t="s">
        <v>5484</v>
      </c>
      <c r="F669" t="s">
        <v>3562</v>
      </c>
      <c r="G669" t="s">
        <v>5485</v>
      </c>
    </row>
    <row r="670" customHeight="1" spans="1:7">
      <c r="A670" t="s">
        <v>16</v>
      </c>
      <c r="B670" t="s">
        <v>5475</v>
      </c>
      <c r="C670" t="s">
        <v>5476</v>
      </c>
      <c r="D670" t="s">
        <v>5486</v>
      </c>
      <c r="E670" t="s">
        <v>5487</v>
      </c>
      <c r="F670" t="s">
        <v>3562</v>
      </c>
      <c r="G670" t="s">
        <v>5488</v>
      </c>
    </row>
    <row r="671" customHeight="1" spans="1:7">
      <c r="A671" t="s">
        <v>16</v>
      </c>
      <c r="B671" t="s">
        <v>5475</v>
      </c>
      <c r="C671" t="s">
        <v>5476</v>
      </c>
      <c r="D671" t="s">
        <v>5489</v>
      </c>
      <c r="E671" t="s">
        <v>5490</v>
      </c>
      <c r="F671" t="s">
        <v>3562</v>
      </c>
      <c r="G671" t="s">
        <v>5491</v>
      </c>
    </row>
    <row r="672" customHeight="1" spans="1:7">
      <c r="A672" t="s">
        <v>16</v>
      </c>
      <c r="B672" t="s">
        <v>5475</v>
      </c>
      <c r="C672" t="s">
        <v>5476</v>
      </c>
      <c r="D672" t="s">
        <v>5492</v>
      </c>
      <c r="E672" t="s">
        <v>5493</v>
      </c>
      <c r="F672" t="s">
        <v>3562</v>
      </c>
      <c r="G672" t="s">
        <v>5494</v>
      </c>
    </row>
    <row r="673" customHeight="1" spans="1:7">
      <c r="A673" t="s">
        <v>16</v>
      </c>
      <c r="B673" t="s">
        <v>5475</v>
      </c>
      <c r="C673" t="s">
        <v>5476</v>
      </c>
      <c r="D673" t="s">
        <v>5495</v>
      </c>
      <c r="E673" t="s">
        <v>5496</v>
      </c>
      <c r="F673" t="s">
        <v>3562</v>
      </c>
      <c r="G673" t="s">
        <v>5497</v>
      </c>
    </row>
    <row r="674" customHeight="1" spans="1:7">
      <c r="A674" t="s">
        <v>16</v>
      </c>
      <c r="B674" t="s">
        <v>5475</v>
      </c>
      <c r="C674" t="s">
        <v>5476</v>
      </c>
      <c r="D674" t="s">
        <v>5498</v>
      </c>
      <c r="E674" t="s">
        <v>5499</v>
      </c>
      <c r="F674" t="s">
        <v>3562</v>
      </c>
      <c r="G674" t="s">
        <v>5500</v>
      </c>
    </row>
    <row r="675" customHeight="1" spans="1:7">
      <c r="A675" t="s">
        <v>16</v>
      </c>
      <c r="B675" t="s">
        <v>5475</v>
      </c>
      <c r="C675" t="s">
        <v>5476</v>
      </c>
      <c r="D675" t="s">
        <v>5095</v>
      </c>
      <c r="E675" t="s">
        <v>5501</v>
      </c>
      <c r="F675" t="s">
        <v>3562</v>
      </c>
      <c r="G675" t="s">
        <v>5502</v>
      </c>
    </row>
    <row r="676" customHeight="1" spans="1:7">
      <c r="A676" t="s">
        <v>16</v>
      </c>
      <c r="B676" t="s">
        <v>5475</v>
      </c>
      <c r="C676" t="s">
        <v>5476</v>
      </c>
      <c r="D676" t="s">
        <v>5475</v>
      </c>
      <c r="E676" t="s">
        <v>5476</v>
      </c>
      <c r="F676" t="s">
        <v>3559</v>
      </c>
      <c r="G676" t="s">
        <v>5503</v>
      </c>
    </row>
    <row r="677" customHeight="1" spans="1:7">
      <c r="A677" t="s">
        <v>16</v>
      </c>
      <c r="B677" t="s">
        <v>5475</v>
      </c>
      <c r="C677" t="s">
        <v>5476</v>
      </c>
      <c r="D677" t="s">
        <v>5504</v>
      </c>
      <c r="E677" t="s">
        <v>5505</v>
      </c>
      <c r="F677" t="s">
        <v>3562</v>
      </c>
      <c r="G677" t="s">
        <v>5506</v>
      </c>
    </row>
    <row r="678" customHeight="1" spans="1:7">
      <c r="A678" t="s">
        <v>16</v>
      </c>
      <c r="B678" t="s">
        <v>5475</v>
      </c>
      <c r="C678" t="s">
        <v>5476</v>
      </c>
      <c r="D678" t="s">
        <v>5507</v>
      </c>
      <c r="E678" t="s">
        <v>5508</v>
      </c>
      <c r="F678" t="s">
        <v>3562</v>
      </c>
      <c r="G678" t="s">
        <v>5509</v>
      </c>
    </row>
    <row r="679" customHeight="1" spans="1:7">
      <c r="A679" t="s">
        <v>16</v>
      </c>
      <c r="B679" t="s">
        <v>5475</v>
      </c>
      <c r="C679" t="s">
        <v>5476</v>
      </c>
      <c r="D679" t="s">
        <v>4286</v>
      </c>
      <c r="E679" t="s">
        <v>5510</v>
      </c>
      <c r="F679" t="s">
        <v>3562</v>
      </c>
      <c r="G679" t="s">
        <v>5511</v>
      </c>
    </row>
    <row r="680" customHeight="1" spans="1:7">
      <c r="A680" t="s">
        <v>16</v>
      </c>
      <c r="B680" t="s">
        <v>5475</v>
      </c>
      <c r="C680" t="s">
        <v>5476</v>
      </c>
      <c r="D680" t="s">
        <v>5512</v>
      </c>
      <c r="E680" t="s">
        <v>5513</v>
      </c>
      <c r="F680" t="s">
        <v>3562</v>
      </c>
      <c r="G680" t="s">
        <v>5514</v>
      </c>
    </row>
    <row r="681" customHeight="1" spans="1:7">
      <c r="A681" t="s">
        <v>16</v>
      </c>
      <c r="B681" t="s">
        <v>5475</v>
      </c>
      <c r="C681" t="s">
        <v>5476</v>
      </c>
      <c r="D681" t="s">
        <v>5515</v>
      </c>
      <c r="E681" t="s">
        <v>5516</v>
      </c>
      <c r="F681" t="s">
        <v>3562</v>
      </c>
      <c r="G681" t="s">
        <v>5517</v>
      </c>
    </row>
    <row r="682" customHeight="1" spans="1:7">
      <c r="A682" t="s">
        <v>16</v>
      </c>
      <c r="B682" t="s">
        <v>5475</v>
      </c>
      <c r="C682" t="s">
        <v>5476</v>
      </c>
      <c r="D682" t="s">
        <v>5518</v>
      </c>
      <c r="E682" t="s">
        <v>5519</v>
      </c>
      <c r="F682" t="s">
        <v>3562</v>
      </c>
      <c r="G682" t="s">
        <v>5520</v>
      </c>
    </row>
    <row r="683" customHeight="1" spans="1:7">
      <c r="A683" t="s">
        <v>16</v>
      </c>
      <c r="B683" t="s">
        <v>5475</v>
      </c>
      <c r="C683" t="s">
        <v>5476</v>
      </c>
      <c r="D683" t="s">
        <v>5521</v>
      </c>
      <c r="E683" t="s">
        <v>5522</v>
      </c>
      <c r="F683" t="s">
        <v>3562</v>
      </c>
      <c r="G683" t="s">
        <v>5523</v>
      </c>
    </row>
    <row r="684" customHeight="1" spans="1:7">
      <c r="A684" t="s">
        <v>16</v>
      </c>
      <c r="B684" t="s">
        <v>5475</v>
      </c>
      <c r="C684" t="s">
        <v>5476</v>
      </c>
      <c r="D684" t="s">
        <v>5524</v>
      </c>
      <c r="E684" t="s">
        <v>5525</v>
      </c>
      <c r="F684" t="s">
        <v>3664</v>
      </c>
      <c r="G684" t="s">
        <v>5526</v>
      </c>
    </row>
    <row r="685" customHeight="1" spans="1:7">
      <c r="A685" t="s">
        <v>16</v>
      </c>
      <c r="B685" t="s">
        <v>5527</v>
      </c>
      <c r="C685" t="s">
        <v>5528</v>
      </c>
      <c r="D685" t="s">
        <v>5529</v>
      </c>
      <c r="E685" t="s">
        <v>5530</v>
      </c>
      <c r="F685" t="s">
        <v>3562</v>
      </c>
      <c r="G685" t="s">
        <v>5531</v>
      </c>
    </row>
    <row r="686" customHeight="1" spans="1:7">
      <c r="A686" t="s">
        <v>16</v>
      </c>
      <c r="B686" t="s">
        <v>5527</v>
      </c>
      <c r="C686" t="s">
        <v>5528</v>
      </c>
      <c r="D686" t="s">
        <v>5532</v>
      </c>
      <c r="E686" t="s">
        <v>5533</v>
      </c>
      <c r="F686" t="s">
        <v>3562</v>
      </c>
      <c r="G686" t="s">
        <v>5534</v>
      </c>
    </row>
    <row r="687" customHeight="1" spans="1:7">
      <c r="A687" t="s">
        <v>16</v>
      </c>
      <c r="B687" t="s">
        <v>5527</v>
      </c>
      <c r="C687" t="s">
        <v>5528</v>
      </c>
      <c r="D687" t="s">
        <v>5535</v>
      </c>
      <c r="E687" t="s">
        <v>5536</v>
      </c>
      <c r="F687" t="s">
        <v>3562</v>
      </c>
      <c r="G687" t="s">
        <v>5537</v>
      </c>
    </row>
    <row r="688" customHeight="1" spans="1:7">
      <c r="A688" t="s">
        <v>16</v>
      </c>
      <c r="B688" t="s">
        <v>5527</v>
      </c>
      <c r="C688" t="s">
        <v>5528</v>
      </c>
      <c r="D688" t="s">
        <v>5538</v>
      </c>
      <c r="E688" t="s">
        <v>5539</v>
      </c>
      <c r="F688" t="s">
        <v>3562</v>
      </c>
      <c r="G688" t="s">
        <v>5540</v>
      </c>
    </row>
    <row r="689" customHeight="1" spans="1:7">
      <c r="A689" t="s">
        <v>16</v>
      </c>
      <c r="B689" t="s">
        <v>5527</v>
      </c>
      <c r="C689" t="s">
        <v>5528</v>
      </c>
      <c r="D689" t="s">
        <v>5541</v>
      </c>
      <c r="E689" t="s">
        <v>5542</v>
      </c>
      <c r="F689" t="s">
        <v>3562</v>
      </c>
      <c r="G689" t="s">
        <v>5543</v>
      </c>
    </row>
    <row r="690" customHeight="1" spans="1:7">
      <c r="A690" t="s">
        <v>16</v>
      </c>
      <c r="B690" t="s">
        <v>5527</v>
      </c>
      <c r="C690" t="s">
        <v>5528</v>
      </c>
      <c r="D690" t="s">
        <v>5544</v>
      </c>
      <c r="E690" t="s">
        <v>5545</v>
      </c>
      <c r="F690" t="s">
        <v>3562</v>
      </c>
      <c r="G690" t="s">
        <v>5546</v>
      </c>
    </row>
    <row r="691" customHeight="1" spans="1:7">
      <c r="A691" t="s">
        <v>16</v>
      </c>
      <c r="B691" t="s">
        <v>5527</v>
      </c>
      <c r="C691" t="s">
        <v>5528</v>
      </c>
      <c r="D691" t="s">
        <v>5547</v>
      </c>
      <c r="E691" t="s">
        <v>5548</v>
      </c>
      <c r="F691" t="s">
        <v>3562</v>
      </c>
      <c r="G691" t="s">
        <v>5549</v>
      </c>
    </row>
    <row r="692" customHeight="1" spans="1:7">
      <c r="A692" t="s">
        <v>16</v>
      </c>
      <c r="B692" t="s">
        <v>5527</v>
      </c>
      <c r="C692" t="s">
        <v>5528</v>
      </c>
      <c r="D692" t="s">
        <v>5550</v>
      </c>
      <c r="E692" t="s">
        <v>5551</v>
      </c>
      <c r="F692" t="s">
        <v>3562</v>
      </c>
      <c r="G692" t="s">
        <v>5552</v>
      </c>
    </row>
    <row r="693" customHeight="1" spans="1:7">
      <c r="A693" t="s">
        <v>16</v>
      </c>
      <c r="B693" t="s">
        <v>5527</v>
      </c>
      <c r="C693" t="s">
        <v>5528</v>
      </c>
      <c r="D693" t="s">
        <v>5527</v>
      </c>
      <c r="E693" t="s">
        <v>5528</v>
      </c>
      <c r="F693" t="s">
        <v>3559</v>
      </c>
      <c r="G693" t="s">
        <v>5553</v>
      </c>
    </row>
    <row r="694" customHeight="1" spans="1:7">
      <c r="A694" t="s">
        <v>16</v>
      </c>
      <c r="B694" t="s">
        <v>5527</v>
      </c>
      <c r="C694" t="s">
        <v>5528</v>
      </c>
      <c r="D694" t="s">
        <v>5554</v>
      </c>
      <c r="E694" t="s">
        <v>5555</v>
      </c>
      <c r="F694" t="s">
        <v>3562</v>
      </c>
      <c r="G694" t="s">
        <v>5556</v>
      </c>
    </row>
    <row r="695" customHeight="1" spans="1:7">
      <c r="A695" t="s">
        <v>16</v>
      </c>
      <c r="B695" t="s">
        <v>5527</v>
      </c>
      <c r="C695" t="s">
        <v>5528</v>
      </c>
      <c r="D695" t="s">
        <v>5557</v>
      </c>
      <c r="E695" t="s">
        <v>5558</v>
      </c>
      <c r="F695" t="s">
        <v>3562</v>
      </c>
      <c r="G695" t="s">
        <v>5559</v>
      </c>
    </row>
    <row r="696" customHeight="1" spans="1:7">
      <c r="A696" t="s">
        <v>16</v>
      </c>
      <c r="B696" t="s">
        <v>5527</v>
      </c>
      <c r="C696" t="s">
        <v>5528</v>
      </c>
      <c r="D696" t="s">
        <v>5560</v>
      </c>
      <c r="E696" t="s">
        <v>5561</v>
      </c>
      <c r="F696" t="s">
        <v>3562</v>
      </c>
      <c r="G696" t="s">
        <v>5562</v>
      </c>
    </row>
    <row r="697" customHeight="1" spans="1:7">
      <c r="A697" t="s">
        <v>16</v>
      </c>
      <c r="B697" t="s">
        <v>5527</v>
      </c>
      <c r="C697" t="s">
        <v>5528</v>
      </c>
      <c r="D697" t="s">
        <v>4849</v>
      </c>
      <c r="E697" t="s">
        <v>5563</v>
      </c>
      <c r="F697" t="s">
        <v>3562</v>
      </c>
      <c r="G697" t="s">
        <v>5564</v>
      </c>
    </row>
    <row r="698" customHeight="1" spans="1:7">
      <c r="A698" t="s">
        <v>16</v>
      </c>
      <c r="B698" t="s">
        <v>5527</v>
      </c>
      <c r="C698" t="s">
        <v>5528</v>
      </c>
      <c r="D698" t="s">
        <v>5565</v>
      </c>
      <c r="E698" t="s">
        <v>5566</v>
      </c>
      <c r="F698" t="s">
        <v>3562</v>
      </c>
      <c r="G698" t="s">
        <v>5567</v>
      </c>
    </row>
    <row r="699" customHeight="1" spans="1:7">
      <c r="A699" t="s">
        <v>16</v>
      </c>
      <c r="B699" t="s">
        <v>5527</v>
      </c>
      <c r="C699" t="s">
        <v>5528</v>
      </c>
      <c r="D699" t="s">
        <v>5568</v>
      </c>
      <c r="E699" t="s">
        <v>5569</v>
      </c>
      <c r="F699" t="s">
        <v>3562</v>
      </c>
      <c r="G699" t="s">
        <v>5570</v>
      </c>
    </row>
    <row r="700" customHeight="1" spans="1:7">
      <c r="A700" t="s">
        <v>16</v>
      </c>
      <c r="B700" t="s">
        <v>5527</v>
      </c>
      <c r="C700" t="s">
        <v>5528</v>
      </c>
      <c r="D700" t="s">
        <v>5571</v>
      </c>
      <c r="E700" t="s">
        <v>5572</v>
      </c>
      <c r="F700" t="s">
        <v>3562</v>
      </c>
      <c r="G700" t="s">
        <v>5573</v>
      </c>
    </row>
    <row r="701" customHeight="1" spans="1:7">
      <c r="A701" t="s">
        <v>16</v>
      </c>
      <c r="B701" t="s">
        <v>5574</v>
      </c>
      <c r="C701" t="s">
        <v>5575</v>
      </c>
      <c r="D701" t="s">
        <v>5576</v>
      </c>
      <c r="E701" t="s">
        <v>5577</v>
      </c>
      <c r="F701" t="s">
        <v>3562</v>
      </c>
      <c r="G701" t="s">
        <v>5578</v>
      </c>
    </row>
    <row r="702" customHeight="1" spans="1:7">
      <c r="A702" t="s">
        <v>16</v>
      </c>
      <c r="B702" t="s">
        <v>5574</v>
      </c>
      <c r="C702" t="s">
        <v>5575</v>
      </c>
      <c r="D702" t="s">
        <v>5579</v>
      </c>
      <c r="E702" t="s">
        <v>5580</v>
      </c>
      <c r="F702" t="s">
        <v>3562</v>
      </c>
      <c r="G702" t="s">
        <v>5581</v>
      </c>
    </row>
    <row r="703" customHeight="1" spans="1:7">
      <c r="A703" t="s">
        <v>16</v>
      </c>
      <c r="B703" t="s">
        <v>5574</v>
      </c>
      <c r="C703" t="s">
        <v>5575</v>
      </c>
      <c r="D703" t="s">
        <v>5582</v>
      </c>
      <c r="E703" t="s">
        <v>5583</v>
      </c>
      <c r="F703" t="s">
        <v>3562</v>
      </c>
      <c r="G703" t="s">
        <v>5584</v>
      </c>
    </row>
    <row r="704" customHeight="1" spans="1:7">
      <c r="A704" t="s">
        <v>16</v>
      </c>
      <c r="B704" t="s">
        <v>5574</v>
      </c>
      <c r="C704" t="s">
        <v>5575</v>
      </c>
      <c r="D704" t="s">
        <v>5585</v>
      </c>
      <c r="E704" t="s">
        <v>5586</v>
      </c>
      <c r="F704" t="s">
        <v>3562</v>
      </c>
      <c r="G704" t="s">
        <v>5587</v>
      </c>
    </row>
    <row r="705" customHeight="1" spans="1:7">
      <c r="A705" t="s">
        <v>16</v>
      </c>
      <c r="B705" t="s">
        <v>5574</v>
      </c>
      <c r="C705" t="s">
        <v>5575</v>
      </c>
      <c r="D705" t="s">
        <v>5588</v>
      </c>
      <c r="E705" t="s">
        <v>5589</v>
      </c>
      <c r="F705" t="s">
        <v>3562</v>
      </c>
      <c r="G705" t="s">
        <v>5590</v>
      </c>
    </row>
    <row r="706" customHeight="1" spans="1:7">
      <c r="A706" t="s">
        <v>16</v>
      </c>
      <c r="B706" t="s">
        <v>5574</v>
      </c>
      <c r="C706" t="s">
        <v>5575</v>
      </c>
      <c r="D706" t="s">
        <v>5591</v>
      </c>
      <c r="E706" t="s">
        <v>5592</v>
      </c>
      <c r="F706" t="s">
        <v>3562</v>
      </c>
      <c r="G706" t="s">
        <v>5593</v>
      </c>
    </row>
    <row r="707" customHeight="1" spans="1:7">
      <c r="A707" t="s">
        <v>16</v>
      </c>
      <c r="B707" t="s">
        <v>5574</v>
      </c>
      <c r="C707" t="s">
        <v>5575</v>
      </c>
      <c r="D707" t="s">
        <v>5594</v>
      </c>
      <c r="E707" t="s">
        <v>5595</v>
      </c>
      <c r="F707" t="s">
        <v>3562</v>
      </c>
      <c r="G707" t="s">
        <v>5596</v>
      </c>
    </row>
    <row r="708" customHeight="1" spans="1:7">
      <c r="A708" t="s">
        <v>16</v>
      </c>
      <c r="B708" t="s">
        <v>5574</v>
      </c>
      <c r="C708" t="s">
        <v>5575</v>
      </c>
      <c r="D708" t="s">
        <v>5597</v>
      </c>
      <c r="E708" t="s">
        <v>5598</v>
      </c>
      <c r="F708" t="s">
        <v>3562</v>
      </c>
      <c r="G708" t="s">
        <v>5599</v>
      </c>
    </row>
    <row r="709" customHeight="1" spans="1:7">
      <c r="A709" t="s">
        <v>16</v>
      </c>
      <c r="B709" t="s">
        <v>5574</v>
      </c>
      <c r="C709" t="s">
        <v>5575</v>
      </c>
      <c r="D709" t="s">
        <v>5600</v>
      </c>
      <c r="E709" t="s">
        <v>5601</v>
      </c>
      <c r="F709" t="s">
        <v>3567</v>
      </c>
      <c r="G709" t="s">
        <v>5602</v>
      </c>
    </row>
    <row r="710" customHeight="1" spans="1:7">
      <c r="A710" t="s">
        <v>16</v>
      </c>
      <c r="B710" t="s">
        <v>5574</v>
      </c>
      <c r="C710" t="s">
        <v>5575</v>
      </c>
      <c r="D710" t="s">
        <v>5603</v>
      </c>
      <c r="E710" t="s">
        <v>5604</v>
      </c>
      <c r="F710" t="s">
        <v>3562</v>
      </c>
      <c r="G710" t="s">
        <v>5605</v>
      </c>
    </row>
    <row r="711" customHeight="1" spans="1:7">
      <c r="A711" t="s">
        <v>16</v>
      </c>
      <c r="B711" t="s">
        <v>5574</v>
      </c>
      <c r="C711" t="s">
        <v>5575</v>
      </c>
      <c r="D711" t="s">
        <v>5606</v>
      </c>
      <c r="E711" t="s">
        <v>5607</v>
      </c>
      <c r="F711" t="s">
        <v>3562</v>
      </c>
      <c r="G711" t="s">
        <v>5608</v>
      </c>
    </row>
    <row r="712" customHeight="1" spans="1:7">
      <c r="A712" t="s">
        <v>16</v>
      </c>
      <c r="B712" t="s">
        <v>5574</v>
      </c>
      <c r="C712" t="s">
        <v>5575</v>
      </c>
      <c r="D712" t="s">
        <v>5609</v>
      </c>
      <c r="E712" t="s">
        <v>5610</v>
      </c>
      <c r="F712" t="s">
        <v>3562</v>
      </c>
      <c r="G712" t="s">
        <v>5611</v>
      </c>
    </row>
    <row r="713" customHeight="1" spans="1:7">
      <c r="A713" t="s">
        <v>16</v>
      </c>
      <c r="B713" t="s">
        <v>5574</v>
      </c>
      <c r="C713" t="s">
        <v>5575</v>
      </c>
      <c r="D713" t="s">
        <v>5612</v>
      </c>
      <c r="E713" t="s">
        <v>5613</v>
      </c>
      <c r="F713" t="s">
        <v>3562</v>
      </c>
      <c r="G713" t="s">
        <v>5614</v>
      </c>
    </row>
    <row r="714" customHeight="1" spans="1:7">
      <c r="A714" t="s">
        <v>16</v>
      </c>
      <c r="B714" t="s">
        <v>5574</v>
      </c>
      <c r="C714" t="s">
        <v>5575</v>
      </c>
      <c r="D714" t="s">
        <v>5615</v>
      </c>
      <c r="E714" t="s">
        <v>5616</v>
      </c>
      <c r="F714" t="s">
        <v>3562</v>
      </c>
      <c r="G714" t="s">
        <v>5617</v>
      </c>
    </row>
    <row r="715" customHeight="1" spans="1:7">
      <c r="A715" t="s">
        <v>16</v>
      </c>
      <c r="B715" t="s">
        <v>5574</v>
      </c>
      <c r="C715" t="s">
        <v>5575</v>
      </c>
      <c r="D715" t="s">
        <v>5618</v>
      </c>
      <c r="E715" t="s">
        <v>5619</v>
      </c>
      <c r="F715" t="s">
        <v>3562</v>
      </c>
      <c r="G715" t="s">
        <v>5620</v>
      </c>
    </row>
    <row r="716" customHeight="1" spans="1:7">
      <c r="A716" t="s">
        <v>16</v>
      </c>
      <c r="B716" t="s">
        <v>5574</v>
      </c>
      <c r="C716" t="s">
        <v>5575</v>
      </c>
      <c r="D716" t="s">
        <v>5621</v>
      </c>
      <c r="E716" t="s">
        <v>5622</v>
      </c>
      <c r="F716" t="s">
        <v>3562</v>
      </c>
      <c r="G716" t="s">
        <v>5623</v>
      </c>
    </row>
    <row r="717" customHeight="1" spans="1:7">
      <c r="A717" t="s">
        <v>16</v>
      </c>
      <c r="B717" t="s">
        <v>5574</v>
      </c>
      <c r="C717" t="s">
        <v>5575</v>
      </c>
      <c r="D717" t="s">
        <v>5624</v>
      </c>
      <c r="E717" t="s">
        <v>5625</v>
      </c>
      <c r="F717" t="s">
        <v>3562</v>
      </c>
      <c r="G717" t="s">
        <v>5626</v>
      </c>
    </row>
    <row r="718" customHeight="1" spans="1:7">
      <c r="A718" t="s">
        <v>16</v>
      </c>
      <c r="B718" t="s">
        <v>5574</v>
      </c>
      <c r="C718" t="s">
        <v>5575</v>
      </c>
      <c r="D718" t="s">
        <v>5574</v>
      </c>
      <c r="E718" t="s">
        <v>5575</v>
      </c>
      <c r="F718" t="s">
        <v>3559</v>
      </c>
      <c r="G718" t="s">
        <v>5627</v>
      </c>
    </row>
    <row r="719" customHeight="1" spans="1:7">
      <c r="A719" t="s">
        <v>16</v>
      </c>
      <c r="B719" t="s">
        <v>5574</v>
      </c>
      <c r="C719" t="s">
        <v>5575</v>
      </c>
      <c r="D719" t="s">
        <v>5628</v>
      </c>
      <c r="E719" t="s">
        <v>5629</v>
      </c>
      <c r="F719" t="s">
        <v>3562</v>
      </c>
      <c r="G719" t="s">
        <v>5630</v>
      </c>
    </row>
    <row r="720" customHeight="1" spans="1:7">
      <c r="A720" t="s">
        <v>16</v>
      </c>
      <c r="B720" t="s">
        <v>5574</v>
      </c>
      <c r="C720" t="s">
        <v>5575</v>
      </c>
      <c r="D720" t="s">
        <v>5631</v>
      </c>
      <c r="E720" t="s">
        <v>5632</v>
      </c>
      <c r="F720" t="s">
        <v>3562</v>
      </c>
      <c r="G720" t="s">
        <v>5633</v>
      </c>
    </row>
    <row r="721" customHeight="1" spans="1:7">
      <c r="A721" t="s">
        <v>16</v>
      </c>
      <c r="B721" t="s">
        <v>5574</v>
      </c>
      <c r="C721" t="s">
        <v>5575</v>
      </c>
      <c r="D721" t="s">
        <v>5634</v>
      </c>
      <c r="E721" t="s">
        <v>5635</v>
      </c>
      <c r="F721" t="s">
        <v>3562</v>
      </c>
      <c r="G721" t="s">
        <v>5636</v>
      </c>
    </row>
    <row r="722" customHeight="1" spans="1:7">
      <c r="A722" t="s">
        <v>16</v>
      </c>
      <c r="B722" t="s">
        <v>5574</v>
      </c>
      <c r="C722" t="s">
        <v>5575</v>
      </c>
      <c r="D722" t="s">
        <v>3913</v>
      </c>
      <c r="E722" t="s">
        <v>5637</v>
      </c>
      <c r="F722" t="s">
        <v>3562</v>
      </c>
      <c r="G722" t="s">
        <v>5638</v>
      </c>
    </row>
    <row r="723" customHeight="1" spans="1:7">
      <c r="A723" t="s">
        <v>16</v>
      </c>
      <c r="B723" t="s">
        <v>5574</v>
      </c>
      <c r="C723" t="s">
        <v>5575</v>
      </c>
      <c r="D723" t="s">
        <v>5639</v>
      </c>
      <c r="E723" t="s">
        <v>5640</v>
      </c>
      <c r="F723" t="s">
        <v>3562</v>
      </c>
      <c r="G723" t="s">
        <v>5641</v>
      </c>
    </row>
    <row r="724" customHeight="1" spans="1:7">
      <c r="A724" t="s">
        <v>16</v>
      </c>
      <c r="B724" t="s">
        <v>5574</v>
      </c>
      <c r="C724" t="s">
        <v>5575</v>
      </c>
      <c r="D724" t="s">
        <v>5642</v>
      </c>
      <c r="E724" t="s">
        <v>5643</v>
      </c>
      <c r="F724" t="s">
        <v>3562</v>
      </c>
      <c r="G724" t="s">
        <v>5644</v>
      </c>
    </row>
    <row r="725" customHeight="1" spans="1:7">
      <c r="A725" t="s">
        <v>16</v>
      </c>
      <c r="B725" t="s">
        <v>5574</v>
      </c>
      <c r="C725" t="s">
        <v>5575</v>
      </c>
      <c r="D725" t="s">
        <v>5645</v>
      </c>
      <c r="E725" t="s">
        <v>5646</v>
      </c>
      <c r="F725" t="s">
        <v>3562</v>
      </c>
      <c r="G725" t="s">
        <v>5647</v>
      </c>
    </row>
    <row r="726" customHeight="1" spans="1:7">
      <c r="A726" t="s">
        <v>16</v>
      </c>
      <c r="B726" t="s">
        <v>5574</v>
      </c>
      <c r="C726" t="s">
        <v>5575</v>
      </c>
      <c r="D726" t="s">
        <v>5648</v>
      </c>
      <c r="E726" t="s">
        <v>5649</v>
      </c>
      <c r="F726" t="s">
        <v>3562</v>
      </c>
      <c r="G726" t="s">
        <v>5650</v>
      </c>
    </row>
    <row r="727" customHeight="1" spans="1:7">
      <c r="A727" t="s">
        <v>16</v>
      </c>
      <c r="B727" t="s">
        <v>5574</v>
      </c>
      <c r="C727" t="s">
        <v>5575</v>
      </c>
      <c r="D727" t="s">
        <v>5651</v>
      </c>
      <c r="E727" t="s">
        <v>5652</v>
      </c>
      <c r="F727" t="s">
        <v>3562</v>
      </c>
      <c r="G727" t="s">
        <v>5653</v>
      </c>
    </row>
    <row r="728" customHeight="1" spans="1:7">
      <c r="A728" t="s">
        <v>16</v>
      </c>
      <c r="B728" t="s">
        <v>5574</v>
      </c>
      <c r="C728" t="s">
        <v>5575</v>
      </c>
      <c r="D728" t="s">
        <v>5654</v>
      </c>
      <c r="E728" t="s">
        <v>5655</v>
      </c>
      <c r="F728" t="s">
        <v>3562</v>
      </c>
      <c r="G728" t="s">
        <v>5656</v>
      </c>
    </row>
    <row r="729" customHeight="1" spans="1:7">
      <c r="A729" t="s">
        <v>16</v>
      </c>
      <c r="B729" t="s">
        <v>5657</v>
      </c>
      <c r="C729" t="s">
        <v>5658</v>
      </c>
      <c r="D729" t="s">
        <v>5659</v>
      </c>
      <c r="E729" t="s">
        <v>5660</v>
      </c>
      <c r="F729" t="s">
        <v>3562</v>
      </c>
      <c r="G729" t="s">
        <v>5661</v>
      </c>
    </row>
    <row r="730" customHeight="1" spans="1:7">
      <c r="A730" t="s">
        <v>16</v>
      </c>
      <c r="B730" t="s">
        <v>5657</v>
      </c>
      <c r="C730" t="s">
        <v>5658</v>
      </c>
      <c r="D730" t="s">
        <v>5662</v>
      </c>
      <c r="E730" t="s">
        <v>5663</v>
      </c>
      <c r="F730" t="s">
        <v>3562</v>
      </c>
      <c r="G730" t="s">
        <v>5664</v>
      </c>
    </row>
    <row r="731" customHeight="1" spans="1:7">
      <c r="A731" t="s">
        <v>16</v>
      </c>
      <c r="B731" t="s">
        <v>5657</v>
      </c>
      <c r="C731" t="s">
        <v>5658</v>
      </c>
      <c r="D731" t="s">
        <v>5665</v>
      </c>
      <c r="E731" t="s">
        <v>5666</v>
      </c>
      <c r="F731" t="s">
        <v>3562</v>
      </c>
      <c r="G731" t="s">
        <v>5667</v>
      </c>
    </row>
    <row r="732" customHeight="1" spans="1:7">
      <c r="A732" t="s">
        <v>16</v>
      </c>
      <c r="B732" t="s">
        <v>5657</v>
      </c>
      <c r="C732" t="s">
        <v>5658</v>
      </c>
      <c r="D732" t="s">
        <v>5668</v>
      </c>
      <c r="E732" t="s">
        <v>5669</v>
      </c>
      <c r="F732" t="s">
        <v>3562</v>
      </c>
      <c r="G732" t="s">
        <v>5670</v>
      </c>
    </row>
    <row r="733" customHeight="1" spans="1:7">
      <c r="A733" t="s">
        <v>16</v>
      </c>
      <c r="B733" t="s">
        <v>5657</v>
      </c>
      <c r="C733" t="s">
        <v>5658</v>
      </c>
      <c r="D733" t="s">
        <v>5671</v>
      </c>
      <c r="E733" t="s">
        <v>5672</v>
      </c>
      <c r="F733" t="s">
        <v>3562</v>
      </c>
      <c r="G733" t="s">
        <v>5673</v>
      </c>
    </row>
    <row r="734" customHeight="1" spans="1:7">
      <c r="A734" t="s">
        <v>16</v>
      </c>
      <c r="B734" t="s">
        <v>5657</v>
      </c>
      <c r="C734" t="s">
        <v>5658</v>
      </c>
      <c r="D734" t="s">
        <v>5674</v>
      </c>
      <c r="E734" t="s">
        <v>5675</v>
      </c>
      <c r="F734" t="s">
        <v>3562</v>
      </c>
      <c r="G734" t="s">
        <v>5676</v>
      </c>
    </row>
    <row r="735" customHeight="1" spans="1:7">
      <c r="A735" t="s">
        <v>16</v>
      </c>
      <c r="B735" t="s">
        <v>5657</v>
      </c>
      <c r="C735" t="s">
        <v>5658</v>
      </c>
      <c r="D735" t="s">
        <v>5677</v>
      </c>
      <c r="E735" t="s">
        <v>5678</v>
      </c>
      <c r="F735" t="s">
        <v>3562</v>
      </c>
      <c r="G735" t="s">
        <v>5679</v>
      </c>
    </row>
    <row r="736" customHeight="1" spans="1:7">
      <c r="A736" t="s">
        <v>16</v>
      </c>
      <c r="B736" t="s">
        <v>5657</v>
      </c>
      <c r="C736" t="s">
        <v>5658</v>
      </c>
      <c r="D736" t="s">
        <v>5680</v>
      </c>
      <c r="E736" t="s">
        <v>5681</v>
      </c>
      <c r="F736" t="s">
        <v>3562</v>
      </c>
      <c r="G736" t="s">
        <v>5682</v>
      </c>
    </row>
    <row r="737" customHeight="1" spans="1:7">
      <c r="A737" t="s">
        <v>16</v>
      </c>
      <c r="B737" t="s">
        <v>5657</v>
      </c>
      <c r="C737" t="s">
        <v>5658</v>
      </c>
      <c r="D737" t="s">
        <v>5683</v>
      </c>
      <c r="E737" t="s">
        <v>5684</v>
      </c>
      <c r="F737" t="s">
        <v>3562</v>
      </c>
      <c r="G737" t="s">
        <v>5685</v>
      </c>
    </row>
    <row r="738" customHeight="1" spans="1:7">
      <c r="A738" t="s">
        <v>16</v>
      </c>
      <c r="B738" t="s">
        <v>5657</v>
      </c>
      <c r="C738" t="s">
        <v>5658</v>
      </c>
      <c r="D738" t="s">
        <v>5686</v>
      </c>
      <c r="E738" t="s">
        <v>5687</v>
      </c>
      <c r="F738" t="s">
        <v>3562</v>
      </c>
      <c r="G738" t="s">
        <v>5688</v>
      </c>
    </row>
    <row r="739" customHeight="1" spans="1:7">
      <c r="A739" t="s">
        <v>16</v>
      </c>
      <c r="B739" t="s">
        <v>5657</v>
      </c>
      <c r="C739" t="s">
        <v>5658</v>
      </c>
      <c r="D739" t="s">
        <v>5689</v>
      </c>
      <c r="E739" t="s">
        <v>5690</v>
      </c>
      <c r="F739" t="s">
        <v>3562</v>
      </c>
      <c r="G739" t="s">
        <v>5691</v>
      </c>
    </row>
    <row r="740" customHeight="1" spans="1:7">
      <c r="A740" t="s">
        <v>16</v>
      </c>
      <c r="B740" t="s">
        <v>5657</v>
      </c>
      <c r="C740" t="s">
        <v>5658</v>
      </c>
      <c r="D740" t="s">
        <v>4891</v>
      </c>
      <c r="E740" t="s">
        <v>5692</v>
      </c>
      <c r="F740" t="s">
        <v>3562</v>
      </c>
      <c r="G740" t="s">
        <v>5693</v>
      </c>
    </row>
    <row r="741" customHeight="1" spans="1:7">
      <c r="A741" t="s">
        <v>16</v>
      </c>
      <c r="B741" t="s">
        <v>5657</v>
      </c>
      <c r="C741" t="s">
        <v>5658</v>
      </c>
      <c r="D741" t="s">
        <v>5694</v>
      </c>
      <c r="E741" t="s">
        <v>5695</v>
      </c>
      <c r="F741" t="s">
        <v>3562</v>
      </c>
      <c r="G741" t="s">
        <v>5696</v>
      </c>
    </row>
    <row r="742" customHeight="1" spans="1:7">
      <c r="A742" t="s">
        <v>16</v>
      </c>
      <c r="B742" t="s">
        <v>5657</v>
      </c>
      <c r="C742" t="s">
        <v>5658</v>
      </c>
      <c r="D742" t="s">
        <v>5697</v>
      </c>
      <c r="E742" t="s">
        <v>5698</v>
      </c>
      <c r="F742" t="s">
        <v>3562</v>
      </c>
      <c r="G742" t="s">
        <v>5699</v>
      </c>
    </row>
    <row r="743" customHeight="1" spans="1:7">
      <c r="A743" t="s">
        <v>16</v>
      </c>
      <c r="B743" t="s">
        <v>5657</v>
      </c>
      <c r="C743" t="s">
        <v>5658</v>
      </c>
      <c r="D743" t="s">
        <v>5657</v>
      </c>
      <c r="E743" t="s">
        <v>5658</v>
      </c>
      <c r="F743" t="s">
        <v>3559</v>
      </c>
      <c r="G743" t="s">
        <v>5700</v>
      </c>
    </row>
    <row r="744" customHeight="1" spans="1:7">
      <c r="A744" t="s">
        <v>16</v>
      </c>
      <c r="B744" t="s">
        <v>5657</v>
      </c>
      <c r="C744" t="s">
        <v>5658</v>
      </c>
      <c r="D744" t="s">
        <v>5701</v>
      </c>
      <c r="E744" t="s">
        <v>5702</v>
      </c>
      <c r="F744" t="s">
        <v>3562</v>
      </c>
      <c r="G744" t="s">
        <v>5703</v>
      </c>
    </row>
    <row r="745" customHeight="1" spans="1:7">
      <c r="A745" t="s">
        <v>16</v>
      </c>
      <c r="B745" t="s">
        <v>5657</v>
      </c>
      <c r="C745" t="s">
        <v>5658</v>
      </c>
      <c r="D745" t="s">
        <v>5704</v>
      </c>
      <c r="E745" t="s">
        <v>5705</v>
      </c>
      <c r="F745" t="s">
        <v>3562</v>
      </c>
      <c r="G745" t="s">
        <v>5706</v>
      </c>
    </row>
    <row r="746" customHeight="1" spans="1:7">
      <c r="A746" t="s">
        <v>16</v>
      </c>
      <c r="B746" t="s">
        <v>5657</v>
      </c>
      <c r="C746" t="s">
        <v>5658</v>
      </c>
      <c r="D746" t="s">
        <v>5707</v>
      </c>
      <c r="E746" t="s">
        <v>5708</v>
      </c>
      <c r="F746" t="s">
        <v>3562</v>
      </c>
      <c r="G746" t="s">
        <v>5709</v>
      </c>
    </row>
    <row r="747" customHeight="1" spans="1:7">
      <c r="A747" t="s">
        <v>16</v>
      </c>
      <c r="B747" t="s">
        <v>5657</v>
      </c>
      <c r="C747" t="s">
        <v>5658</v>
      </c>
      <c r="D747" t="s">
        <v>5710</v>
      </c>
      <c r="E747" t="s">
        <v>5711</v>
      </c>
      <c r="F747" t="s">
        <v>3562</v>
      </c>
      <c r="G747" t="s">
        <v>5712</v>
      </c>
    </row>
    <row r="748" customHeight="1" spans="1:7">
      <c r="A748" t="s">
        <v>16</v>
      </c>
      <c r="B748" t="s">
        <v>5657</v>
      </c>
      <c r="C748" t="s">
        <v>5658</v>
      </c>
      <c r="D748" t="s">
        <v>5713</v>
      </c>
      <c r="E748" t="s">
        <v>5714</v>
      </c>
      <c r="F748" t="s">
        <v>3562</v>
      </c>
      <c r="G748" t="s">
        <v>5715</v>
      </c>
    </row>
    <row r="749" customHeight="1" spans="1:7">
      <c r="A749" t="s">
        <v>16</v>
      </c>
      <c r="B749" t="s">
        <v>5657</v>
      </c>
      <c r="C749" t="s">
        <v>5658</v>
      </c>
      <c r="D749" t="s">
        <v>5716</v>
      </c>
      <c r="E749" t="s">
        <v>5717</v>
      </c>
      <c r="F749" t="s">
        <v>3562</v>
      </c>
      <c r="G749" t="s">
        <v>5718</v>
      </c>
    </row>
    <row r="750" customHeight="1" spans="1:7">
      <c r="A750" t="s">
        <v>16</v>
      </c>
      <c r="B750" t="s">
        <v>5657</v>
      </c>
      <c r="C750" t="s">
        <v>5658</v>
      </c>
      <c r="D750" t="s">
        <v>5719</v>
      </c>
      <c r="E750" t="s">
        <v>5720</v>
      </c>
      <c r="F750" t="s">
        <v>3562</v>
      </c>
      <c r="G750" t="s">
        <v>5721</v>
      </c>
    </row>
    <row r="751" customHeight="1" spans="1:7">
      <c r="A751" t="s">
        <v>16</v>
      </c>
      <c r="B751" t="s">
        <v>5722</v>
      </c>
      <c r="C751" t="s">
        <v>5723</v>
      </c>
      <c r="D751" t="s">
        <v>5724</v>
      </c>
      <c r="E751" t="s">
        <v>5725</v>
      </c>
      <c r="F751" t="s">
        <v>3562</v>
      </c>
      <c r="G751" t="s">
        <v>5726</v>
      </c>
    </row>
    <row r="752" customHeight="1" spans="1:7">
      <c r="A752" t="s">
        <v>16</v>
      </c>
      <c r="B752" t="s">
        <v>5722</v>
      </c>
      <c r="C752" t="s">
        <v>5723</v>
      </c>
      <c r="D752" t="s">
        <v>5727</v>
      </c>
      <c r="E752" t="s">
        <v>5728</v>
      </c>
      <c r="F752" t="s">
        <v>3562</v>
      </c>
      <c r="G752" t="s">
        <v>5729</v>
      </c>
    </row>
    <row r="753" customHeight="1" spans="1:7">
      <c r="A753" t="s">
        <v>16</v>
      </c>
      <c r="B753" t="s">
        <v>5722</v>
      </c>
      <c r="C753" t="s">
        <v>5723</v>
      </c>
      <c r="D753" t="s">
        <v>5730</v>
      </c>
      <c r="E753" t="s">
        <v>5731</v>
      </c>
      <c r="F753" t="s">
        <v>3562</v>
      </c>
      <c r="G753" t="s">
        <v>5732</v>
      </c>
    </row>
    <row r="754" customHeight="1" spans="1:7">
      <c r="A754" t="s">
        <v>16</v>
      </c>
      <c r="B754" t="s">
        <v>5722</v>
      </c>
      <c r="C754" t="s">
        <v>5723</v>
      </c>
      <c r="D754" t="s">
        <v>5733</v>
      </c>
      <c r="E754" t="s">
        <v>5734</v>
      </c>
      <c r="F754" t="s">
        <v>3562</v>
      </c>
      <c r="G754" t="s">
        <v>5735</v>
      </c>
    </row>
    <row r="755" customHeight="1" spans="1:7">
      <c r="A755" t="s">
        <v>16</v>
      </c>
      <c r="B755" t="s">
        <v>5722</v>
      </c>
      <c r="C755" t="s">
        <v>5723</v>
      </c>
      <c r="D755" t="s">
        <v>5736</v>
      </c>
      <c r="E755" t="s">
        <v>5737</v>
      </c>
      <c r="F755" t="s">
        <v>3562</v>
      </c>
      <c r="G755" t="s">
        <v>5738</v>
      </c>
    </row>
    <row r="756" customHeight="1" spans="1:7">
      <c r="A756" t="s">
        <v>16</v>
      </c>
      <c r="B756" t="s">
        <v>5722</v>
      </c>
      <c r="C756" t="s">
        <v>5723</v>
      </c>
      <c r="D756" t="s">
        <v>5739</v>
      </c>
      <c r="E756" t="s">
        <v>5740</v>
      </c>
      <c r="F756" t="s">
        <v>3562</v>
      </c>
      <c r="G756" t="s">
        <v>5741</v>
      </c>
    </row>
    <row r="757" customHeight="1" spans="1:7">
      <c r="A757" t="s">
        <v>16</v>
      </c>
      <c r="B757" t="s">
        <v>5722</v>
      </c>
      <c r="C757" t="s">
        <v>5723</v>
      </c>
      <c r="D757" t="s">
        <v>5742</v>
      </c>
      <c r="E757" t="s">
        <v>5743</v>
      </c>
      <c r="F757" t="s">
        <v>3562</v>
      </c>
      <c r="G757" t="s">
        <v>5744</v>
      </c>
    </row>
    <row r="758" customHeight="1" spans="1:7">
      <c r="A758" t="s">
        <v>16</v>
      </c>
      <c r="B758" t="s">
        <v>5722</v>
      </c>
      <c r="C758" t="s">
        <v>5723</v>
      </c>
      <c r="D758" t="s">
        <v>5745</v>
      </c>
      <c r="E758" t="s">
        <v>5746</v>
      </c>
      <c r="F758" t="s">
        <v>3562</v>
      </c>
      <c r="G758" t="s">
        <v>5747</v>
      </c>
    </row>
    <row r="759" customHeight="1" spans="1:7">
      <c r="A759" t="s">
        <v>16</v>
      </c>
      <c r="B759" t="s">
        <v>5722</v>
      </c>
      <c r="C759" t="s">
        <v>5723</v>
      </c>
      <c r="D759" t="s">
        <v>5748</v>
      </c>
      <c r="E759" t="s">
        <v>5749</v>
      </c>
      <c r="F759" t="s">
        <v>3562</v>
      </c>
      <c r="G759" t="s">
        <v>5750</v>
      </c>
    </row>
    <row r="760" customHeight="1" spans="1:7">
      <c r="A760" t="s">
        <v>16</v>
      </c>
      <c r="B760" t="s">
        <v>5722</v>
      </c>
      <c r="C760" t="s">
        <v>5723</v>
      </c>
      <c r="D760" t="s">
        <v>5751</v>
      </c>
      <c r="E760" t="s">
        <v>5752</v>
      </c>
      <c r="F760" t="s">
        <v>3562</v>
      </c>
      <c r="G760" t="s">
        <v>5753</v>
      </c>
    </row>
    <row r="761" customHeight="1" spans="1:7">
      <c r="A761" t="s">
        <v>16</v>
      </c>
      <c r="B761" t="s">
        <v>5722</v>
      </c>
      <c r="C761" t="s">
        <v>5723</v>
      </c>
      <c r="D761" t="s">
        <v>5754</v>
      </c>
      <c r="E761" t="s">
        <v>5755</v>
      </c>
      <c r="F761" t="s">
        <v>3562</v>
      </c>
      <c r="G761" t="s">
        <v>5756</v>
      </c>
    </row>
    <row r="762" customHeight="1" spans="1:7">
      <c r="A762" t="s">
        <v>16</v>
      </c>
      <c r="B762" t="s">
        <v>5722</v>
      </c>
      <c r="C762" t="s">
        <v>5723</v>
      </c>
      <c r="D762" t="s">
        <v>5757</v>
      </c>
      <c r="E762" t="s">
        <v>5758</v>
      </c>
      <c r="F762" t="s">
        <v>3562</v>
      </c>
      <c r="G762" t="s">
        <v>5759</v>
      </c>
    </row>
    <row r="763" customHeight="1" spans="1:7">
      <c r="A763" t="s">
        <v>16</v>
      </c>
      <c r="B763" t="s">
        <v>5722</v>
      </c>
      <c r="C763" t="s">
        <v>5723</v>
      </c>
      <c r="D763" t="s">
        <v>5760</v>
      </c>
      <c r="E763" t="s">
        <v>5761</v>
      </c>
      <c r="F763" t="s">
        <v>3562</v>
      </c>
      <c r="G763" t="s">
        <v>5762</v>
      </c>
    </row>
    <row r="764" customHeight="1" spans="1:7">
      <c r="A764" t="s">
        <v>16</v>
      </c>
      <c r="B764" t="s">
        <v>5722</v>
      </c>
      <c r="C764" t="s">
        <v>5723</v>
      </c>
      <c r="D764" t="s">
        <v>5763</v>
      </c>
      <c r="E764" t="s">
        <v>5764</v>
      </c>
      <c r="F764" t="s">
        <v>3562</v>
      </c>
      <c r="G764" t="s">
        <v>5765</v>
      </c>
    </row>
    <row r="765" customHeight="1" spans="1:7">
      <c r="A765" t="s">
        <v>16</v>
      </c>
      <c r="B765" t="s">
        <v>5722</v>
      </c>
      <c r="C765" t="s">
        <v>5723</v>
      </c>
      <c r="D765" t="s">
        <v>5766</v>
      </c>
      <c r="E765" t="s">
        <v>5767</v>
      </c>
      <c r="F765" t="s">
        <v>3562</v>
      </c>
      <c r="G765" t="s">
        <v>5768</v>
      </c>
    </row>
    <row r="766" customHeight="1" spans="1:7">
      <c r="A766" t="s">
        <v>16</v>
      </c>
      <c r="B766" t="s">
        <v>5722</v>
      </c>
      <c r="C766" t="s">
        <v>5723</v>
      </c>
      <c r="D766" t="s">
        <v>5769</v>
      </c>
      <c r="E766" t="s">
        <v>5770</v>
      </c>
      <c r="F766" t="s">
        <v>3562</v>
      </c>
      <c r="G766" t="s">
        <v>5771</v>
      </c>
    </row>
    <row r="767" customHeight="1" spans="1:7">
      <c r="A767" t="s">
        <v>16</v>
      </c>
      <c r="B767" t="s">
        <v>5722</v>
      </c>
      <c r="C767" t="s">
        <v>5723</v>
      </c>
      <c r="D767" t="s">
        <v>5772</v>
      </c>
      <c r="E767" t="s">
        <v>5773</v>
      </c>
      <c r="F767" t="s">
        <v>3562</v>
      </c>
      <c r="G767" t="s">
        <v>5774</v>
      </c>
    </row>
    <row r="768" customHeight="1" spans="1:7">
      <c r="A768" t="s">
        <v>16</v>
      </c>
      <c r="B768" t="s">
        <v>5722</v>
      </c>
      <c r="C768" t="s">
        <v>5723</v>
      </c>
      <c r="D768" t="s">
        <v>5775</v>
      </c>
      <c r="E768" t="s">
        <v>5776</v>
      </c>
      <c r="F768" t="s">
        <v>3562</v>
      </c>
      <c r="G768" t="s">
        <v>5777</v>
      </c>
    </row>
    <row r="769" customHeight="1" spans="1:7">
      <c r="A769" t="s">
        <v>16</v>
      </c>
      <c r="B769" t="s">
        <v>5722</v>
      </c>
      <c r="C769" t="s">
        <v>5723</v>
      </c>
      <c r="D769" t="s">
        <v>5778</v>
      </c>
      <c r="E769" t="s">
        <v>5779</v>
      </c>
      <c r="F769" t="s">
        <v>3562</v>
      </c>
      <c r="G769" t="s">
        <v>5780</v>
      </c>
    </row>
    <row r="770" customHeight="1" spans="1:7">
      <c r="A770" t="s">
        <v>16</v>
      </c>
      <c r="B770" t="s">
        <v>5722</v>
      </c>
      <c r="C770" t="s">
        <v>5723</v>
      </c>
      <c r="D770" t="s">
        <v>5722</v>
      </c>
      <c r="E770" t="s">
        <v>5723</v>
      </c>
      <c r="F770" t="s">
        <v>3559</v>
      </c>
      <c r="G770" t="s">
        <v>5781</v>
      </c>
    </row>
    <row r="771" customHeight="1" spans="1:7">
      <c r="A771" t="s">
        <v>16</v>
      </c>
      <c r="B771" t="s">
        <v>5722</v>
      </c>
      <c r="C771" t="s">
        <v>5723</v>
      </c>
      <c r="D771" t="s">
        <v>5782</v>
      </c>
      <c r="E771" t="s">
        <v>5783</v>
      </c>
      <c r="F771" t="s">
        <v>3562</v>
      </c>
      <c r="G771" t="s">
        <v>5784</v>
      </c>
    </row>
    <row r="772" customHeight="1" spans="1:7">
      <c r="A772" t="s">
        <v>16</v>
      </c>
      <c r="B772" t="s">
        <v>5722</v>
      </c>
      <c r="C772" t="s">
        <v>5723</v>
      </c>
      <c r="D772" t="s">
        <v>5785</v>
      </c>
      <c r="E772" t="s">
        <v>5786</v>
      </c>
      <c r="F772" t="s">
        <v>3562</v>
      </c>
      <c r="G772" t="s">
        <v>5787</v>
      </c>
    </row>
    <row r="773" customHeight="1" spans="1:7">
      <c r="A773" t="s">
        <v>16</v>
      </c>
      <c r="B773" t="s">
        <v>5722</v>
      </c>
      <c r="C773" t="s">
        <v>5723</v>
      </c>
      <c r="D773" t="s">
        <v>5788</v>
      </c>
      <c r="E773" t="s">
        <v>5789</v>
      </c>
      <c r="F773" t="s">
        <v>3562</v>
      </c>
      <c r="G773" t="s">
        <v>5790</v>
      </c>
    </row>
    <row r="774" customHeight="1" spans="1:7">
      <c r="A774" t="s">
        <v>16</v>
      </c>
      <c r="B774" t="s">
        <v>5722</v>
      </c>
      <c r="C774" t="s">
        <v>5723</v>
      </c>
      <c r="D774" t="s">
        <v>5791</v>
      </c>
      <c r="E774" t="s">
        <v>5792</v>
      </c>
      <c r="F774" t="s">
        <v>3562</v>
      </c>
      <c r="G774" t="s">
        <v>5793</v>
      </c>
    </row>
    <row r="775" customHeight="1" spans="1:7">
      <c r="A775" t="s">
        <v>16</v>
      </c>
      <c r="B775" t="s">
        <v>5722</v>
      </c>
      <c r="C775" t="s">
        <v>5723</v>
      </c>
      <c r="D775" t="s">
        <v>5794</v>
      </c>
      <c r="E775" t="s">
        <v>5795</v>
      </c>
      <c r="F775" t="s">
        <v>3562</v>
      </c>
      <c r="G775" t="s">
        <v>5796</v>
      </c>
    </row>
    <row r="776" customHeight="1" spans="1:7">
      <c r="A776" t="s">
        <v>16</v>
      </c>
      <c r="B776" t="s">
        <v>5722</v>
      </c>
      <c r="C776" t="s">
        <v>5723</v>
      </c>
      <c r="D776" t="s">
        <v>5797</v>
      </c>
      <c r="E776" t="s">
        <v>5798</v>
      </c>
      <c r="F776" t="s">
        <v>3562</v>
      </c>
      <c r="G776" t="s">
        <v>5799</v>
      </c>
    </row>
    <row r="777" customHeight="1" spans="1:7">
      <c r="A777" t="s">
        <v>16</v>
      </c>
      <c r="B777" t="s">
        <v>5722</v>
      </c>
      <c r="C777" t="s">
        <v>5723</v>
      </c>
      <c r="D777" t="s">
        <v>5800</v>
      </c>
      <c r="E777" t="s">
        <v>5801</v>
      </c>
      <c r="F777" t="s">
        <v>3562</v>
      </c>
      <c r="G777" t="s">
        <v>5802</v>
      </c>
    </row>
    <row r="778" customHeight="1" spans="1:7">
      <c r="A778" t="s">
        <v>16</v>
      </c>
      <c r="B778" t="s">
        <v>5722</v>
      </c>
      <c r="C778" t="s">
        <v>5723</v>
      </c>
      <c r="D778" t="s">
        <v>5803</v>
      </c>
      <c r="E778" t="s">
        <v>5804</v>
      </c>
      <c r="F778" t="s">
        <v>3664</v>
      </c>
      <c r="G778" t="s">
        <v>5805</v>
      </c>
    </row>
    <row r="779" customHeight="1" spans="1:7">
      <c r="A779" t="s">
        <v>16</v>
      </c>
      <c r="B779" t="s">
        <v>5806</v>
      </c>
      <c r="C779" t="s">
        <v>5807</v>
      </c>
      <c r="D779" t="s">
        <v>5808</v>
      </c>
      <c r="E779" t="s">
        <v>5809</v>
      </c>
      <c r="F779" t="s">
        <v>3562</v>
      </c>
      <c r="G779" t="s">
        <v>5810</v>
      </c>
    </row>
    <row r="780" customHeight="1" spans="1:7">
      <c r="A780" t="s">
        <v>16</v>
      </c>
      <c r="B780" t="s">
        <v>5806</v>
      </c>
      <c r="C780" t="s">
        <v>5807</v>
      </c>
      <c r="D780" t="s">
        <v>5811</v>
      </c>
      <c r="E780" t="s">
        <v>5812</v>
      </c>
      <c r="F780" t="s">
        <v>3562</v>
      </c>
      <c r="G780" t="s">
        <v>5813</v>
      </c>
    </row>
    <row r="781" customHeight="1" spans="1:7">
      <c r="A781" t="s">
        <v>16</v>
      </c>
      <c r="B781" t="s">
        <v>5806</v>
      </c>
      <c r="C781" t="s">
        <v>5807</v>
      </c>
      <c r="D781" t="s">
        <v>5814</v>
      </c>
      <c r="E781" t="s">
        <v>5815</v>
      </c>
      <c r="F781" t="s">
        <v>3562</v>
      </c>
      <c r="G781" t="s">
        <v>5816</v>
      </c>
    </row>
    <row r="782" customHeight="1" spans="1:7">
      <c r="A782" t="s">
        <v>16</v>
      </c>
      <c r="B782" t="s">
        <v>5806</v>
      </c>
      <c r="C782" t="s">
        <v>5807</v>
      </c>
      <c r="D782" t="s">
        <v>5817</v>
      </c>
      <c r="E782" t="s">
        <v>5818</v>
      </c>
      <c r="F782" t="s">
        <v>3562</v>
      </c>
      <c r="G782" t="s">
        <v>5819</v>
      </c>
    </row>
    <row r="783" customHeight="1" spans="1:7">
      <c r="A783" t="s">
        <v>16</v>
      </c>
      <c r="B783" t="s">
        <v>5806</v>
      </c>
      <c r="C783" t="s">
        <v>5807</v>
      </c>
      <c r="D783" t="s">
        <v>5820</v>
      </c>
      <c r="E783" t="s">
        <v>5821</v>
      </c>
      <c r="F783" t="s">
        <v>3562</v>
      </c>
      <c r="G783" t="s">
        <v>5822</v>
      </c>
    </row>
    <row r="784" customHeight="1" spans="1:7">
      <c r="A784" t="s">
        <v>16</v>
      </c>
      <c r="B784" t="s">
        <v>5806</v>
      </c>
      <c r="C784" t="s">
        <v>5807</v>
      </c>
      <c r="D784" t="s">
        <v>5823</v>
      </c>
      <c r="E784" t="s">
        <v>5824</v>
      </c>
      <c r="F784" t="s">
        <v>3562</v>
      </c>
      <c r="G784" t="s">
        <v>5825</v>
      </c>
    </row>
    <row r="785" customHeight="1" spans="1:7">
      <c r="A785" t="s">
        <v>16</v>
      </c>
      <c r="B785" t="s">
        <v>5806</v>
      </c>
      <c r="C785" t="s">
        <v>5807</v>
      </c>
      <c r="D785" t="s">
        <v>5826</v>
      </c>
      <c r="E785" t="s">
        <v>5827</v>
      </c>
      <c r="F785" t="s">
        <v>3562</v>
      </c>
      <c r="G785" t="s">
        <v>5828</v>
      </c>
    </row>
    <row r="786" customHeight="1" spans="1:7">
      <c r="A786" t="s">
        <v>16</v>
      </c>
      <c r="B786" t="s">
        <v>5806</v>
      </c>
      <c r="C786" t="s">
        <v>5807</v>
      </c>
      <c r="D786" t="s">
        <v>5829</v>
      </c>
      <c r="E786" t="s">
        <v>5830</v>
      </c>
      <c r="F786" t="s">
        <v>3562</v>
      </c>
      <c r="G786" t="s">
        <v>5831</v>
      </c>
    </row>
    <row r="787" customHeight="1" spans="1:7">
      <c r="A787" t="s">
        <v>16</v>
      </c>
      <c r="B787" t="s">
        <v>5806</v>
      </c>
      <c r="C787" t="s">
        <v>5807</v>
      </c>
      <c r="D787" t="s">
        <v>5832</v>
      </c>
      <c r="E787" t="s">
        <v>5833</v>
      </c>
      <c r="F787" t="s">
        <v>3562</v>
      </c>
      <c r="G787" t="s">
        <v>5834</v>
      </c>
    </row>
    <row r="788" customHeight="1" spans="1:7">
      <c r="A788" t="s">
        <v>16</v>
      </c>
      <c r="B788" t="s">
        <v>5806</v>
      </c>
      <c r="C788" t="s">
        <v>5807</v>
      </c>
      <c r="D788" t="s">
        <v>5835</v>
      </c>
      <c r="E788" t="s">
        <v>5836</v>
      </c>
      <c r="F788" t="s">
        <v>3562</v>
      </c>
      <c r="G788" t="s">
        <v>5837</v>
      </c>
    </row>
    <row r="789" customHeight="1" spans="1:7">
      <c r="A789" t="s">
        <v>16</v>
      </c>
      <c r="B789" t="s">
        <v>5806</v>
      </c>
      <c r="C789" t="s">
        <v>5807</v>
      </c>
      <c r="D789" t="s">
        <v>5838</v>
      </c>
      <c r="E789" t="s">
        <v>5839</v>
      </c>
      <c r="F789" t="s">
        <v>3562</v>
      </c>
      <c r="G789" t="s">
        <v>5840</v>
      </c>
    </row>
    <row r="790" customHeight="1" spans="1:7">
      <c r="A790" t="s">
        <v>16</v>
      </c>
      <c r="B790" t="s">
        <v>5806</v>
      </c>
      <c r="C790" t="s">
        <v>5807</v>
      </c>
      <c r="D790" t="s">
        <v>5841</v>
      </c>
      <c r="E790" t="s">
        <v>5842</v>
      </c>
      <c r="F790" t="s">
        <v>3562</v>
      </c>
      <c r="G790" t="s">
        <v>5843</v>
      </c>
    </row>
    <row r="791" customHeight="1" spans="1:7">
      <c r="A791" t="s">
        <v>16</v>
      </c>
      <c r="B791" t="s">
        <v>5806</v>
      </c>
      <c r="C791" t="s">
        <v>5807</v>
      </c>
      <c r="D791" t="s">
        <v>5844</v>
      </c>
      <c r="E791" t="s">
        <v>5845</v>
      </c>
      <c r="F791" t="s">
        <v>3562</v>
      </c>
      <c r="G791" t="s">
        <v>5846</v>
      </c>
    </row>
    <row r="792" customHeight="1" spans="1:7">
      <c r="A792" t="s">
        <v>16</v>
      </c>
      <c r="B792" t="s">
        <v>5806</v>
      </c>
      <c r="C792" t="s">
        <v>5807</v>
      </c>
      <c r="D792" t="s">
        <v>5806</v>
      </c>
      <c r="E792" t="s">
        <v>5807</v>
      </c>
      <c r="F792" t="s">
        <v>3559</v>
      </c>
      <c r="G792" t="s">
        <v>5847</v>
      </c>
    </row>
    <row r="793" customHeight="1" spans="1:7">
      <c r="A793" t="s">
        <v>16</v>
      </c>
      <c r="B793" t="s">
        <v>5806</v>
      </c>
      <c r="C793" t="s">
        <v>5807</v>
      </c>
      <c r="D793" t="s">
        <v>5848</v>
      </c>
      <c r="E793" t="s">
        <v>5849</v>
      </c>
      <c r="F793" t="s">
        <v>3562</v>
      </c>
      <c r="G793" t="s">
        <v>5850</v>
      </c>
    </row>
    <row r="794" customHeight="1" spans="1:7">
      <c r="A794" t="s">
        <v>16</v>
      </c>
      <c r="B794" t="s">
        <v>5806</v>
      </c>
      <c r="C794" t="s">
        <v>5807</v>
      </c>
      <c r="D794" t="s">
        <v>5851</v>
      </c>
      <c r="E794" t="s">
        <v>5852</v>
      </c>
      <c r="F794" t="s">
        <v>3562</v>
      </c>
      <c r="G794" t="s">
        <v>5853</v>
      </c>
    </row>
    <row r="795" customHeight="1" spans="1:7">
      <c r="A795" t="s">
        <v>16</v>
      </c>
      <c r="B795" t="s">
        <v>5806</v>
      </c>
      <c r="C795" t="s">
        <v>5807</v>
      </c>
      <c r="D795" t="s">
        <v>5854</v>
      </c>
      <c r="E795" t="s">
        <v>5855</v>
      </c>
      <c r="F795" t="s">
        <v>3562</v>
      </c>
      <c r="G795" t="s">
        <v>5856</v>
      </c>
    </row>
    <row r="796" customHeight="1" spans="1:7">
      <c r="A796" t="s">
        <v>16</v>
      </c>
      <c r="B796" t="s">
        <v>5806</v>
      </c>
      <c r="C796" t="s">
        <v>5807</v>
      </c>
      <c r="D796" t="s">
        <v>5857</v>
      </c>
      <c r="E796" t="s">
        <v>5858</v>
      </c>
      <c r="F796" t="s">
        <v>3562</v>
      </c>
      <c r="G796" t="s">
        <v>5859</v>
      </c>
    </row>
    <row r="797" customHeight="1" spans="1:7">
      <c r="A797" t="s">
        <v>16</v>
      </c>
      <c r="B797" t="s">
        <v>5806</v>
      </c>
      <c r="C797" t="s">
        <v>5807</v>
      </c>
      <c r="D797" t="s">
        <v>5860</v>
      </c>
      <c r="E797" t="s">
        <v>5861</v>
      </c>
      <c r="F797" t="s">
        <v>3562</v>
      </c>
      <c r="G797" t="s">
        <v>5862</v>
      </c>
    </row>
    <row r="798" customHeight="1" spans="1:7">
      <c r="A798" t="s">
        <v>16</v>
      </c>
      <c r="B798" t="s">
        <v>5806</v>
      </c>
      <c r="C798" t="s">
        <v>5807</v>
      </c>
      <c r="D798" t="s">
        <v>5863</v>
      </c>
      <c r="E798" t="s">
        <v>5864</v>
      </c>
      <c r="F798" t="s">
        <v>3562</v>
      </c>
      <c r="G798" t="s">
        <v>5865</v>
      </c>
    </row>
    <row r="799" customHeight="1" spans="1:7">
      <c r="A799" t="s">
        <v>16</v>
      </c>
      <c r="B799" t="s">
        <v>5806</v>
      </c>
      <c r="C799" t="s">
        <v>5807</v>
      </c>
      <c r="D799" t="s">
        <v>5866</v>
      </c>
      <c r="E799" t="s">
        <v>5867</v>
      </c>
      <c r="F799" t="s">
        <v>3664</v>
      </c>
      <c r="G799" t="s">
        <v>5868</v>
      </c>
    </row>
    <row r="800" customHeight="1" spans="1:7">
      <c r="A800" t="s">
        <v>16</v>
      </c>
      <c r="B800" t="s">
        <v>5869</v>
      </c>
      <c r="C800" t="s">
        <v>5870</v>
      </c>
      <c r="D800" t="s">
        <v>5871</v>
      </c>
      <c r="E800" t="s">
        <v>5872</v>
      </c>
      <c r="F800" t="s">
        <v>3562</v>
      </c>
      <c r="G800" t="s">
        <v>5873</v>
      </c>
    </row>
    <row r="801" customHeight="1" spans="1:7">
      <c r="A801" t="s">
        <v>16</v>
      </c>
      <c r="B801" t="s">
        <v>5869</v>
      </c>
      <c r="C801" t="s">
        <v>5870</v>
      </c>
      <c r="D801" t="s">
        <v>4207</v>
      </c>
      <c r="E801" t="s">
        <v>5874</v>
      </c>
      <c r="F801" t="s">
        <v>3562</v>
      </c>
      <c r="G801" t="s">
        <v>5875</v>
      </c>
    </row>
    <row r="802" customHeight="1" spans="1:7">
      <c r="A802" t="s">
        <v>16</v>
      </c>
      <c r="B802" t="s">
        <v>5869</v>
      </c>
      <c r="C802" t="s">
        <v>5870</v>
      </c>
      <c r="D802" t="s">
        <v>3937</v>
      </c>
      <c r="E802" t="s">
        <v>5876</v>
      </c>
      <c r="F802" t="s">
        <v>3562</v>
      </c>
      <c r="G802" t="s">
        <v>5877</v>
      </c>
    </row>
    <row r="803" customHeight="1" spans="1:7">
      <c r="A803" t="s">
        <v>16</v>
      </c>
      <c r="B803" t="s">
        <v>5869</v>
      </c>
      <c r="C803" t="s">
        <v>5870</v>
      </c>
      <c r="D803" t="s">
        <v>5878</v>
      </c>
      <c r="E803" t="s">
        <v>5879</v>
      </c>
      <c r="F803" t="s">
        <v>3562</v>
      </c>
      <c r="G803" t="s">
        <v>5880</v>
      </c>
    </row>
    <row r="804" customHeight="1" spans="1:7">
      <c r="A804" t="s">
        <v>16</v>
      </c>
      <c r="B804" t="s">
        <v>5869</v>
      </c>
      <c r="C804" t="s">
        <v>5870</v>
      </c>
      <c r="D804" t="s">
        <v>5881</v>
      </c>
      <c r="E804" t="s">
        <v>5882</v>
      </c>
      <c r="F804" t="s">
        <v>3562</v>
      </c>
      <c r="G804" t="s">
        <v>5883</v>
      </c>
    </row>
    <row r="805" customHeight="1" spans="1:7">
      <c r="A805" t="s">
        <v>16</v>
      </c>
      <c r="B805" t="s">
        <v>5869</v>
      </c>
      <c r="C805" t="s">
        <v>5870</v>
      </c>
      <c r="D805" t="s">
        <v>5884</v>
      </c>
      <c r="E805" t="s">
        <v>5885</v>
      </c>
      <c r="F805" t="s">
        <v>3562</v>
      </c>
      <c r="G805" t="s">
        <v>5886</v>
      </c>
    </row>
    <row r="806" customHeight="1" spans="1:7">
      <c r="A806" t="s">
        <v>16</v>
      </c>
      <c r="B806" t="s">
        <v>5869</v>
      </c>
      <c r="C806" t="s">
        <v>5870</v>
      </c>
      <c r="D806" t="s">
        <v>5887</v>
      </c>
      <c r="E806" t="s">
        <v>5888</v>
      </c>
      <c r="F806" t="s">
        <v>3562</v>
      </c>
      <c r="G806" t="s">
        <v>5889</v>
      </c>
    </row>
    <row r="807" customHeight="1" spans="1:7">
      <c r="A807" t="s">
        <v>16</v>
      </c>
      <c r="B807" t="s">
        <v>5869</v>
      </c>
      <c r="C807" t="s">
        <v>5870</v>
      </c>
      <c r="D807" t="s">
        <v>5890</v>
      </c>
      <c r="E807" t="s">
        <v>5891</v>
      </c>
      <c r="F807" t="s">
        <v>3562</v>
      </c>
      <c r="G807" t="s">
        <v>5892</v>
      </c>
    </row>
    <row r="808" customHeight="1" spans="1:7">
      <c r="A808" t="s">
        <v>16</v>
      </c>
      <c r="B808" t="s">
        <v>5869</v>
      </c>
      <c r="C808" t="s">
        <v>5870</v>
      </c>
      <c r="D808" t="s">
        <v>5893</v>
      </c>
      <c r="E808" t="s">
        <v>5894</v>
      </c>
      <c r="F808" t="s">
        <v>3562</v>
      </c>
      <c r="G808" t="s">
        <v>5895</v>
      </c>
    </row>
    <row r="809" customHeight="1" spans="1:7">
      <c r="A809" t="s">
        <v>16</v>
      </c>
      <c r="B809" t="s">
        <v>5869</v>
      </c>
      <c r="C809" t="s">
        <v>5870</v>
      </c>
      <c r="D809" t="s">
        <v>5896</v>
      </c>
      <c r="E809" t="s">
        <v>5897</v>
      </c>
      <c r="F809" t="s">
        <v>3562</v>
      </c>
      <c r="G809" t="s">
        <v>5898</v>
      </c>
    </row>
    <row r="810" customHeight="1" spans="1:7">
      <c r="A810" t="s">
        <v>16</v>
      </c>
      <c r="B810" t="s">
        <v>5869</v>
      </c>
      <c r="C810" t="s">
        <v>5870</v>
      </c>
      <c r="D810" t="s">
        <v>5899</v>
      </c>
      <c r="E810" t="s">
        <v>5900</v>
      </c>
      <c r="F810" t="s">
        <v>3562</v>
      </c>
      <c r="G810" t="s">
        <v>5901</v>
      </c>
    </row>
    <row r="811" customHeight="1" spans="1:7">
      <c r="A811" t="s">
        <v>16</v>
      </c>
      <c r="B811" t="s">
        <v>5869</v>
      </c>
      <c r="C811" t="s">
        <v>5870</v>
      </c>
      <c r="D811" t="s">
        <v>5902</v>
      </c>
      <c r="E811" t="s">
        <v>5903</v>
      </c>
      <c r="F811" t="s">
        <v>3562</v>
      </c>
      <c r="G811" t="s">
        <v>5904</v>
      </c>
    </row>
    <row r="812" customHeight="1" spans="1:7">
      <c r="A812" t="s">
        <v>16</v>
      </c>
      <c r="B812" t="s">
        <v>5869</v>
      </c>
      <c r="C812" t="s">
        <v>5870</v>
      </c>
      <c r="D812" t="s">
        <v>5905</v>
      </c>
      <c r="E812" t="s">
        <v>5906</v>
      </c>
      <c r="F812" t="s">
        <v>3562</v>
      </c>
      <c r="G812" t="s">
        <v>5907</v>
      </c>
    </row>
    <row r="813" customHeight="1" spans="1:7">
      <c r="A813" t="s">
        <v>16</v>
      </c>
      <c r="B813" t="s">
        <v>5869</v>
      </c>
      <c r="C813" t="s">
        <v>5870</v>
      </c>
      <c r="D813" t="s">
        <v>5908</v>
      </c>
      <c r="E813" t="s">
        <v>5909</v>
      </c>
      <c r="F813" t="s">
        <v>3562</v>
      </c>
      <c r="G813" t="s">
        <v>5910</v>
      </c>
    </row>
    <row r="814" customHeight="1" spans="1:7">
      <c r="A814" t="s">
        <v>16</v>
      </c>
      <c r="B814" t="s">
        <v>5869</v>
      </c>
      <c r="C814" t="s">
        <v>5870</v>
      </c>
      <c r="D814" t="s">
        <v>5911</v>
      </c>
      <c r="E814" t="s">
        <v>5912</v>
      </c>
      <c r="F814" t="s">
        <v>3562</v>
      </c>
      <c r="G814" t="s">
        <v>5913</v>
      </c>
    </row>
    <row r="815" customHeight="1" spans="1:7">
      <c r="A815" t="s">
        <v>16</v>
      </c>
      <c r="B815" t="s">
        <v>5869</v>
      </c>
      <c r="C815" t="s">
        <v>5870</v>
      </c>
      <c r="D815" t="s">
        <v>5869</v>
      </c>
      <c r="E815" t="s">
        <v>5870</v>
      </c>
      <c r="F815" t="s">
        <v>3559</v>
      </c>
      <c r="G815" t="s">
        <v>5914</v>
      </c>
    </row>
    <row r="816" customHeight="1" spans="1:7">
      <c r="A816" t="s">
        <v>16</v>
      </c>
      <c r="B816" t="s">
        <v>5869</v>
      </c>
      <c r="C816" t="s">
        <v>5870</v>
      </c>
      <c r="D816" t="s">
        <v>5915</v>
      </c>
      <c r="E816" t="s">
        <v>5916</v>
      </c>
      <c r="F816" t="s">
        <v>3562</v>
      </c>
      <c r="G816" t="s">
        <v>5917</v>
      </c>
    </row>
    <row r="817" customHeight="1" spans="1:7">
      <c r="A817" t="s">
        <v>16</v>
      </c>
      <c r="B817" t="s">
        <v>5869</v>
      </c>
      <c r="C817" t="s">
        <v>5870</v>
      </c>
      <c r="D817" t="s">
        <v>5918</v>
      </c>
      <c r="E817" t="s">
        <v>5919</v>
      </c>
      <c r="F817" t="s">
        <v>3562</v>
      </c>
      <c r="G817" t="s">
        <v>5920</v>
      </c>
    </row>
    <row r="818" customHeight="1" spans="1:7">
      <c r="A818" t="s">
        <v>16</v>
      </c>
      <c r="B818" t="s">
        <v>5869</v>
      </c>
      <c r="C818" t="s">
        <v>5870</v>
      </c>
      <c r="D818" t="s">
        <v>5921</v>
      </c>
      <c r="E818" t="s">
        <v>5922</v>
      </c>
      <c r="F818" t="s">
        <v>3562</v>
      </c>
      <c r="G818" t="s">
        <v>5923</v>
      </c>
    </row>
    <row r="819" customHeight="1" spans="1:7">
      <c r="A819" t="s">
        <v>16</v>
      </c>
      <c r="B819" t="s">
        <v>5869</v>
      </c>
      <c r="C819" t="s">
        <v>5870</v>
      </c>
      <c r="D819" t="s">
        <v>5924</v>
      </c>
      <c r="E819" t="s">
        <v>5925</v>
      </c>
      <c r="F819" t="s">
        <v>3562</v>
      </c>
      <c r="G819" t="s">
        <v>5926</v>
      </c>
    </row>
    <row r="820" customHeight="1" spans="1:7">
      <c r="A820" t="s">
        <v>16</v>
      </c>
      <c r="B820" t="s">
        <v>5869</v>
      </c>
      <c r="C820" t="s">
        <v>5870</v>
      </c>
      <c r="D820" t="s">
        <v>5927</v>
      </c>
      <c r="E820" t="s">
        <v>5928</v>
      </c>
      <c r="F820" t="s">
        <v>3562</v>
      </c>
      <c r="G820" t="s">
        <v>5929</v>
      </c>
    </row>
    <row r="821" customHeight="1" spans="1:7">
      <c r="A821" t="s">
        <v>16</v>
      </c>
      <c r="B821" t="s">
        <v>5869</v>
      </c>
      <c r="C821" t="s">
        <v>5870</v>
      </c>
      <c r="D821" t="s">
        <v>5930</v>
      </c>
      <c r="E821" t="s">
        <v>5931</v>
      </c>
      <c r="F821" t="s">
        <v>3562</v>
      </c>
      <c r="G821" t="s">
        <v>5932</v>
      </c>
    </row>
    <row r="822" customHeight="1" spans="1:7">
      <c r="A822" t="s">
        <v>16</v>
      </c>
      <c r="B822" t="s">
        <v>5869</v>
      </c>
      <c r="C822" t="s">
        <v>5870</v>
      </c>
      <c r="D822" t="s">
        <v>5933</v>
      </c>
      <c r="E822" t="s">
        <v>5934</v>
      </c>
      <c r="F822" t="s">
        <v>3562</v>
      </c>
      <c r="G822" t="s">
        <v>5935</v>
      </c>
    </row>
    <row r="823" customHeight="1" spans="1:7">
      <c r="A823" t="s">
        <v>16</v>
      </c>
      <c r="B823" t="s">
        <v>5869</v>
      </c>
      <c r="C823" t="s">
        <v>5870</v>
      </c>
      <c r="D823" t="s">
        <v>5936</v>
      </c>
      <c r="E823" t="s">
        <v>5937</v>
      </c>
      <c r="F823" t="s">
        <v>3664</v>
      </c>
      <c r="G823" t="s">
        <v>5938</v>
      </c>
    </row>
    <row r="824" customHeight="1" spans="1:7">
      <c r="A824" t="s">
        <v>16</v>
      </c>
      <c r="B824" t="s">
        <v>5939</v>
      </c>
      <c r="C824" t="s">
        <v>5940</v>
      </c>
      <c r="D824" t="s">
        <v>5941</v>
      </c>
      <c r="E824" t="s">
        <v>5942</v>
      </c>
      <c r="F824" t="s">
        <v>3562</v>
      </c>
      <c r="G824" t="s">
        <v>5943</v>
      </c>
    </row>
    <row r="825" customHeight="1" spans="1:7">
      <c r="A825" t="s">
        <v>16</v>
      </c>
      <c r="B825" t="s">
        <v>5939</v>
      </c>
      <c r="C825" t="s">
        <v>5940</v>
      </c>
      <c r="D825" t="s">
        <v>5944</v>
      </c>
      <c r="E825" t="s">
        <v>5945</v>
      </c>
      <c r="F825" t="s">
        <v>3562</v>
      </c>
      <c r="G825" t="s">
        <v>5946</v>
      </c>
    </row>
    <row r="826" customHeight="1" spans="1:7">
      <c r="A826" t="s">
        <v>16</v>
      </c>
      <c r="B826" t="s">
        <v>5939</v>
      </c>
      <c r="C826" t="s">
        <v>5940</v>
      </c>
      <c r="D826" t="s">
        <v>5947</v>
      </c>
      <c r="E826" t="s">
        <v>5948</v>
      </c>
      <c r="F826" t="s">
        <v>3562</v>
      </c>
      <c r="G826" t="s">
        <v>5949</v>
      </c>
    </row>
    <row r="827" customHeight="1" spans="1:7">
      <c r="A827" t="s">
        <v>16</v>
      </c>
      <c r="B827" t="s">
        <v>5939</v>
      </c>
      <c r="C827" t="s">
        <v>5940</v>
      </c>
      <c r="D827" t="s">
        <v>5950</v>
      </c>
      <c r="E827" t="s">
        <v>5951</v>
      </c>
      <c r="F827" t="s">
        <v>3567</v>
      </c>
      <c r="G827" t="s">
        <v>5952</v>
      </c>
    </row>
    <row r="828" customHeight="1" spans="1:7">
      <c r="A828" t="s">
        <v>16</v>
      </c>
      <c r="B828" t="s">
        <v>5939</v>
      </c>
      <c r="C828" t="s">
        <v>5940</v>
      </c>
      <c r="D828" t="s">
        <v>5953</v>
      </c>
      <c r="E828" t="s">
        <v>5954</v>
      </c>
      <c r="F828" t="s">
        <v>3562</v>
      </c>
      <c r="G828" t="s">
        <v>5955</v>
      </c>
    </row>
    <row r="829" customHeight="1" spans="1:7">
      <c r="A829" t="s">
        <v>16</v>
      </c>
      <c r="B829" t="s">
        <v>5939</v>
      </c>
      <c r="C829" t="s">
        <v>5940</v>
      </c>
      <c r="D829" t="s">
        <v>5956</v>
      </c>
      <c r="E829" t="s">
        <v>5957</v>
      </c>
      <c r="F829" t="s">
        <v>3562</v>
      </c>
      <c r="G829" t="s">
        <v>5958</v>
      </c>
    </row>
    <row r="830" customHeight="1" spans="1:7">
      <c r="A830" t="s">
        <v>16</v>
      </c>
      <c r="B830" t="s">
        <v>5939</v>
      </c>
      <c r="C830" t="s">
        <v>5940</v>
      </c>
      <c r="D830" t="s">
        <v>5959</v>
      </c>
      <c r="E830" t="s">
        <v>5960</v>
      </c>
      <c r="F830" t="s">
        <v>3562</v>
      </c>
      <c r="G830" t="s">
        <v>5961</v>
      </c>
    </row>
    <row r="831" customHeight="1" spans="1:7">
      <c r="A831" t="s">
        <v>16</v>
      </c>
      <c r="B831" t="s">
        <v>5939</v>
      </c>
      <c r="C831" t="s">
        <v>5940</v>
      </c>
      <c r="D831" t="s">
        <v>5962</v>
      </c>
      <c r="E831" t="s">
        <v>5963</v>
      </c>
      <c r="F831" t="s">
        <v>3562</v>
      </c>
      <c r="G831" t="s">
        <v>5964</v>
      </c>
    </row>
    <row r="832" customHeight="1" spans="1:7">
      <c r="A832" t="s">
        <v>16</v>
      </c>
      <c r="B832" t="s">
        <v>5939</v>
      </c>
      <c r="C832" t="s">
        <v>5940</v>
      </c>
      <c r="D832" t="s">
        <v>5965</v>
      </c>
      <c r="E832" t="s">
        <v>5966</v>
      </c>
      <c r="F832" t="s">
        <v>3562</v>
      </c>
      <c r="G832" t="s">
        <v>5967</v>
      </c>
    </row>
    <row r="833" customHeight="1" spans="1:7">
      <c r="A833" t="s">
        <v>16</v>
      </c>
      <c r="B833" t="s">
        <v>5939</v>
      </c>
      <c r="C833" t="s">
        <v>5940</v>
      </c>
      <c r="D833" t="s">
        <v>4488</v>
      </c>
      <c r="E833" t="s">
        <v>5968</v>
      </c>
      <c r="F833" t="s">
        <v>3562</v>
      </c>
      <c r="G833" t="s">
        <v>5969</v>
      </c>
    </row>
    <row r="834" customHeight="1" spans="1:7">
      <c r="A834" t="s">
        <v>16</v>
      </c>
      <c r="B834" t="s">
        <v>5939</v>
      </c>
      <c r="C834" t="s">
        <v>5940</v>
      </c>
      <c r="D834" t="s">
        <v>5107</v>
      </c>
      <c r="E834" t="s">
        <v>5970</v>
      </c>
      <c r="F834" t="s">
        <v>3562</v>
      </c>
      <c r="G834" t="s">
        <v>5971</v>
      </c>
    </row>
    <row r="835" customHeight="1" spans="1:7">
      <c r="A835" t="s">
        <v>16</v>
      </c>
      <c r="B835" t="s">
        <v>5939</v>
      </c>
      <c r="C835" t="s">
        <v>5940</v>
      </c>
      <c r="D835" t="s">
        <v>5775</v>
      </c>
      <c r="E835" t="s">
        <v>5972</v>
      </c>
      <c r="F835" t="s">
        <v>3562</v>
      </c>
      <c r="G835" t="s">
        <v>5973</v>
      </c>
    </row>
    <row r="836" customHeight="1" spans="1:7">
      <c r="A836" t="s">
        <v>16</v>
      </c>
      <c r="B836" t="s">
        <v>5939</v>
      </c>
      <c r="C836" t="s">
        <v>5940</v>
      </c>
      <c r="D836" t="s">
        <v>5974</v>
      </c>
      <c r="E836" t="s">
        <v>5975</v>
      </c>
      <c r="F836" t="s">
        <v>3562</v>
      </c>
      <c r="G836" t="s">
        <v>5976</v>
      </c>
    </row>
    <row r="837" customHeight="1" spans="1:7">
      <c r="A837" t="s">
        <v>16</v>
      </c>
      <c r="B837" t="s">
        <v>5939</v>
      </c>
      <c r="C837" t="s">
        <v>5940</v>
      </c>
      <c r="D837" t="s">
        <v>5939</v>
      </c>
      <c r="E837" t="s">
        <v>5940</v>
      </c>
      <c r="F837" t="s">
        <v>3559</v>
      </c>
      <c r="G837" t="s">
        <v>5977</v>
      </c>
    </row>
    <row r="838" customHeight="1" spans="1:7">
      <c r="A838" t="s">
        <v>16</v>
      </c>
      <c r="B838" t="s">
        <v>5939</v>
      </c>
      <c r="C838" t="s">
        <v>5940</v>
      </c>
      <c r="D838" t="s">
        <v>5978</v>
      </c>
      <c r="E838" t="s">
        <v>5979</v>
      </c>
      <c r="F838" t="s">
        <v>3562</v>
      </c>
      <c r="G838" t="s">
        <v>5980</v>
      </c>
    </row>
    <row r="839" customHeight="1" spans="1:7">
      <c r="A839" t="s">
        <v>16</v>
      </c>
      <c r="B839" t="s">
        <v>5939</v>
      </c>
      <c r="C839" t="s">
        <v>5940</v>
      </c>
      <c r="D839" t="s">
        <v>5981</v>
      </c>
      <c r="E839" t="s">
        <v>5982</v>
      </c>
      <c r="F839" t="s">
        <v>3562</v>
      </c>
      <c r="G839" t="s">
        <v>5983</v>
      </c>
    </row>
    <row r="840" customHeight="1" spans="1:7">
      <c r="A840" t="s">
        <v>16</v>
      </c>
      <c r="B840" t="s">
        <v>5939</v>
      </c>
      <c r="C840" t="s">
        <v>5940</v>
      </c>
      <c r="D840" t="s">
        <v>5984</v>
      </c>
      <c r="E840" t="s">
        <v>5985</v>
      </c>
      <c r="F840" t="s">
        <v>3562</v>
      </c>
      <c r="G840" t="s">
        <v>5986</v>
      </c>
    </row>
    <row r="841" customHeight="1" spans="1:7">
      <c r="A841" t="s">
        <v>16</v>
      </c>
      <c r="B841" t="s">
        <v>5939</v>
      </c>
      <c r="C841" t="s">
        <v>5940</v>
      </c>
      <c r="D841" t="s">
        <v>5987</v>
      </c>
      <c r="E841" t="s">
        <v>5988</v>
      </c>
      <c r="F841" t="s">
        <v>3562</v>
      </c>
      <c r="G841" t="s">
        <v>5989</v>
      </c>
    </row>
    <row r="842" customHeight="1" spans="1:7">
      <c r="A842" t="s">
        <v>16</v>
      </c>
      <c r="B842" t="s">
        <v>5990</v>
      </c>
      <c r="C842" t="s">
        <v>5991</v>
      </c>
      <c r="D842" t="s">
        <v>5992</v>
      </c>
      <c r="E842" t="s">
        <v>5993</v>
      </c>
      <c r="F842" t="s">
        <v>3562</v>
      </c>
      <c r="G842" t="s">
        <v>5994</v>
      </c>
    </row>
    <row r="843" customHeight="1" spans="1:7">
      <c r="A843" t="s">
        <v>16</v>
      </c>
      <c r="B843" t="s">
        <v>5990</v>
      </c>
      <c r="C843" t="s">
        <v>5991</v>
      </c>
      <c r="D843" t="s">
        <v>5995</v>
      </c>
      <c r="E843" t="s">
        <v>5996</v>
      </c>
      <c r="F843" t="s">
        <v>3562</v>
      </c>
      <c r="G843" t="s">
        <v>5997</v>
      </c>
    </row>
    <row r="844" customHeight="1" spans="1:7">
      <c r="A844" t="s">
        <v>16</v>
      </c>
      <c r="B844" t="s">
        <v>5990</v>
      </c>
      <c r="C844" t="s">
        <v>5991</v>
      </c>
      <c r="D844" t="s">
        <v>4049</v>
      </c>
      <c r="E844" t="s">
        <v>5998</v>
      </c>
      <c r="F844" t="s">
        <v>3562</v>
      </c>
      <c r="G844" t="s">
        <v>5999</v>
      </c>
    </row>
    <row r="845" customHeight="1" spans="1:7">
      <c r="A845" t="s">
        <v>16</v>
      </c>
      <c r="B845" t="s">
        <v>5990</v>
      </c>
      <c r="C845" t="s">
        <v>5991</v>
      </c>
      <c r="D845" t="s">
        <v>6000</v>
      </c>
      <c r="E845" t="s">
        <v>6001</v>
      </c>
      <c r="F845" t="s">
        <v>3562</v>
      </c>
      <c r="G845" t="s">
        <v>6002</v>
      </c>
    </row>
    <row r="846" customHeight="1" spans="1:7">
      <c r="A846" t="s">
        <v>16</v>
      </c>
      <c r="B846" t="s">
        <v>5990</v>
      </c>
      <c r="C846" t="s">
        <v>5991</v>
      </c>
      <c r="D846" t="s">
        <v>6003</v>
      </c>
      <c r="E846" t="s">
        <v>6004</v>
      </c>
      <c r="F846" t="s">
        <v>3562</v>
      </c>
      <c r="G846" t="s">
        <v>6005</v>
      </c>
    </row>
    <row r="847" customHeight="1" spans="1:7">
      <c r="A847" t="s">
        <v>16</v>
      </c>
      <c r="B847" t="s">
        <v>5990</v>
      </c>
      <c r="C847" t="s">
        <v>5991</v>
      </c>
      <c r="D847" t="s">
        <v>6006</v>
      </c>
      <c r="E847" t="s">
        <v>6007</v>
      </c>
      <c r="F847" t="s">
        <v>3562</v>
      </c>
      <c r="G847" t="s">
        <v>6008</v>
      </c>
    </row>
    <row r="848" customHeight="1" spans="1:7">
      <c r="A848" t="s">
        <v>16</v>
      </c>
      <c r="B848" t="s">
        <v>5990</v>
      </c>
      <c r="C848" t="s">
        <v>5991</v>
      </c>
      <c r="D848" t="s">
        <v>6009</v>
      </c>
      <c r="E848" t="s">
        <v>6010</v>
      </c>
      <c r="F848" t="s">
        <v>3562</v>
      </c>
      <c r="G848" t="s">
        <v>6011</v>
      </c>
    </row>
    <row r="849" customHeight="1" spans="1:7">
      <c r="A849" t="s">
        <v>16</v>
      </c>
      <c r="B849" t="s">
        <v>5990</v>
      </c>
      <c r="C849" t="s">
        <v>5991</v>
      </c>
      <c r="D849" t="s">
        <v>6012</v>
      </c>
      <c r="E849" t="s">
        <v>6013</v>
      </c>
      <c r="F849" t="s">
        <v>3562</v>
      </c>
      <c r="G849" t="s">
        <v>6014</v>
      </c>
    </row>
    <row r="850" customHeight="1" spans="1:7">
      <c r="A850" t="s">
        <v>16</v>
      </c>
      <c r="B850" t="s">
        <v>5990</v>
      </c>
      <c r="C850" t="s">
        <v>5991</v>
      </c>
      <c r="D850" t="s">
        <v>6015</v>
      </c>
      <c r="E850" t="s">
        <v>6016</v>
      </c>
      <c r="F850" t="s">
        <v>3562</v>
      </c>
      <c r="G850" t="s">
        <v>6017</v>
      </c>
    </row>
    <row r="851" customHeight="1" spans="1:7">
      <c r="A851" t="s">
        <v>16</v>
      </c>
      <c r="B851" t="s">
        <v>5990</v>
      </c>
      <c r="C851" t="s">
        <v>5991</v>
      </c>
      <c r="D851" t="s">
        <v>6018</v>
      </c>
      <c r="E851" t="s">
        <v>6019</v>
      </c>
      <c r="F851" t="s">
        <v>3567</v>
      </c>
      <c r="G851" t="s">
        <v>6020</v>
      </c>
    </row>
    <row r="852" customHeight="1" spans="1:7">
      <c r="A852" t="s">
        <v>16</v>
      </c>
      <c r="B852" t="s">
        <v>5990</v>
      </c>
      <c r="C852" t="s">
        <v>5991</v>
      </c>
      <c r="D852" t="s">
        <v>6021</v>
      </c>
      <c r="E852" t="s">
        <v>6022</v>
      </c>
      <c r="F852" t="s">
        <v>3562</v>
      </c>
      <c r="G852" t="s">
        <v>6023</v>
      </c>
    </row>
    <row r="853" customHeight="1" spans="1:7">
      <c r="A853" t="s">
        <v>16</v>
      </c>
      <c r="B853" t="s">
        <v>5990</v>
      </c>
      <c r="C853" t="s">
        <v>5991</v>
      </c>
      <c r="D853" t="s">
        <v>6024</v>
      </c>
      <c r="E853" t="s">
        <v>6025</v>
      </c>
      <c r="F853" t="s">
        <v>3562</v>
      </c>
      <c r="G853" t="s">
        <v>6026</v>
      </c>
    </row>
    <row r="854" customHeight="1" spans="1:7">
      <c r="A854" t="s">
        <v>16</v>
      </c>
      <c r="B854" t="s">
        <v>5990</v>
      </c>
      <c r="C854" t="s">
        <v>5991</v>
      </c>
      <c r="D854" t="s">
        <v>6027</v>
      </c>
      <c r="E854" t="s">
        <v>6028</v>
      </c>
      <c r="F854" t="s">
        <v>3562</v>
      </c>
      <c r="G854" t="s">
        <v>6029</v>
      </c>
    </row>
    <row r="855" customHeight="1" spans="1:7">
      <c r="A855" t="s">
        <v>16</v>
      </c>
      <c r="B855" t="s">
        <v>5990</v>
      </c>
      <c r="C855" t="s">
        <v>5991</v>
      </c>
      <c r="D855" t="s">
        <v>6030</v>
      </c>
      <c r="E855" t="s">
        <v>6031</v>
      </c>
      <c r="F855" t="s">
        <v>3562</v>
      </c>
      <c r="G855" t="s">
        <v>6032</v>
      </c>
    </row>
    <row r="856" customHeight="1" spans="1:7">
      <c r="A856" t="s">
        <v>16</v>
      </c>
      <c r="B856" t="s">
        <v>5990</v>
      </c>
      <c r="C856" t="s">
        <v>5991</v>
      </c>
      <c r="D856" t="s">
        <v>6033</v>
      </c>
      <c r="E856" t="s">
        <v>6034</v>
      </c>
      <c r="F856" t="s">
        <v>3562</v>
      </c>
      <c r="G856" t="s">
        <v>6035</v>
      </c>
    </row>
    <row r="857" customHeight="1" spans="1:7">
      <c r="A857" t="s">
        <v>16</v>
      </c>
      <c r="B857" t="s">
        <v>5990</v>
      </c>
      <c r="C857" t="s">
        <v>5991</v>
      </c>
      <c r="D857" t="s">
        <v>6036</v>
      </c>
      <c r="E857" t="s">
        <v>6037</v>
      </c>
      <c r="F857" t="s">
        <v>3562</v>
      </c>
      <c r="G857" t="s">
        <v>6038</v>
      </c>
    </row>
    <row r="858" customHeight="1" spans="1:7">
      <c r="A858" t="s">
        <v>16</v>
      </c>
      <c r="B858" t="s">
        <v>5990</v>
      </c>
      <c r="C858" t="s">
        <v>5991</v>
      </c>
      <c r="D858" t="s">
        <v>6039</v>
      </c>
      <c r="E858" t="s">
        <v>6040</v>
      </c>
      <c r="F858" t="s">
        <v>3562</v>
      </c>
      <c r="G858" t="s">
        <v>6041</v>
      </c>
    </row>
    <row r="859" customHeight="1" spans="1:7">
      <c r="A859" t="s">
        <v>16</v>
      </c>
      <c r="B859" t="s">
        <v>5990</v>
      </c>
      <c r="C859" t="s">
        <v>5991</v>
      </c>
      <c r="D859" t="s">
        <v>5104</v>
      </c>
      <c r="E859" t="s">
        <v>6042</v>
      </c>
      <c r="F859" t="s">
        <v>3562</v>
      </c>
      <c r="G859" t="s">
        <v>6043</v>
      </c>
    </row>
    <row r="860" customHeight="1" spans="1:7">
      <c r="A860" t="s">
        <v>16</v>
      </c>
      <c r="B860" t="s">
        <v>5990</v>
      </c>
      <c r="C860" t="s">
        <v>5991</v>
      </c>
      <c r="D860" t="s">
        <v>6044</v>
      </c>
      <c r="E860" t="s">
        <v>6045</v>
      </c>
      <c r="F860" t="s">
        <v>3562</v>
      </c>
      <c r="G860" t="s">
        <v>6046</v>
      </c>
    </row>
    <row r="861" customHeight="1" spans="1:7">
      <c r="A861" t="s">
        <v>16</v>
      </c>
      <c r="B861" t="s">
        <v>5990</v>
      </c>
      <c r="C861" t="s">
        <v>5991</v>
      </c>
      <c r="D861" t="s">
        <v>5990</v>
      </c>
      <c r="E861" t="s">
        <v>5991</v>
      </c>
      <c r="F861" t="s">
        <v>3559</v>
      </c>
      <c r="G861" t="s">
        <v>6047</v>
      </c>
    </row>
    <row r="862" customHeight="1" spans="1:7">
      <c r="A862" t="s">
        <v>16</v>
      </c>
      <c r="B862" t="s">
        <v>5990</v>
      </c>
      <c r="C862" t="s">
        <v>5991</v>
      </c>
      <c r="D862" t="s">
        <v>6048</v>
      </c>
      <c r="E862" t="s">
        <v>6049</v>
      </c>
      <c r="F862" t="s">
        <v>3562</v>
      </c>
      <c r="G862" t="s">
        <v>6050</v>
      </c>
    </row>
    <row r="863" customHeight="1" spans="1:7">
      <c r="A863" t="s">
        <v>16</v>
      </c>
      <c r="B863" t="s">
        <v>5990</v>
      </c>
      <c r="C863" t="s">
        <v>5991</v>
      </c>
      <c r="D863" t="s">
        <v>4900</v>
      </c>
      <c r="E863" t="s">
        <v>6051</v>
      </c>
      <c r="F863" t="s">
        <v>3562</v>
      </c>
      <c r="G863" t="s">
        <v>6052</v>
      </c>
    </row>
    <row r="864" customHeight="1" spans="1:7">
      <c r="A864" t="s">
        <v>16</v>
      </c>
      <c r="B864" t="s">
        <v>6053</v>
      </c>
      <c r="C864" t="s">
        <v>6054</v>
      </c>
      <c r="D864" t="s">
        <v>6055</v>
      </c>
      <c r="E864" t="s">
        <v>6056</v>
      </c>
      <c r="F864" t="s">
        <v>3562</v>
      </c>
      <c r="G864" t="s">
        <v>6057</v>
      </c>
    </row>
    <row r="865" customHeight="1" spans="1:7">
      <c r="A865" t="s">
        <v>16</v>
      </c>
      <c r="B865" t="s">
        <v>6053</v>
      </c>
      <c r="C865" t="s">
        <v>6054</v>
      </c>
      <c r="D865" t="s">
        <v>6058</v>
      </c>
      <c r="E865" t="s">
        <v>6059</v>
      </c>
      <c r="F865" t="s">
        <v>3562</v>
      </c>
      <c r="G865" t="s">
        <v>6060</v>
      </c>
    </row>
    <row r="866" customHeight="1" spans="1:7">
      <c r="A866" t="s">
        <v>16</v>
      </c>
      <c r="B866" t="s">
        <v>6053</v>
      </c>
      <c r="C866" t="s">
        <v>6054</v>
      </c>
      <c r="D866" t="s">
        <v>6061</v>
      </c>
      <c r="E866" t="s">
        <v>6062</v>
      </c>
      <c r="F866" t="s">
        <v>3562</v>
      </c>
      <c r="G866" t="s">
        <v>6063</v>
      </c>
    </row>
    <row r="867" customHeight="1" spans="1:7">
      <c r="A867" t="s">
        <v>16</v>
      </c>
      <c r="B867" t="s">
        <v>6053</v>
      </c>
      <c r="C867" t="s">
        <v>6054</v>
      </c>
      <c r="D867" t="s">
        <v>6064</v>
      </c>
      <c r="E867" t="s">
        <v>6065</v>
      </c>
      <c r="F867" t="s">
        <v>3562</v>
      </c>
      <c r="G867" t="s">
        <v>6066</v>
      </c>
    </row>
    <row r="868" customHeight="1" spans="1:7">
      <c r="A868" t="s">
        <v>16</v>
      </c>
      <c r="B868" t="s">
        <v>6053</v>
      </c>
      <c r="C868" t="s">
        <v>6054</v>
      </c>
      <c r="D868" t="s">
        <v>6067</v>
      </c>
      <c r="E868" t="s">
        <v>6068</v>
      </c>
      <c r="F868" t="s">
        <v>3562</v>
      </c>
      <c r="G868" t="s">
        <v>6069</v>
      </c>
    </row>
    <row r="869" customHeight="1" spans="1:7">
      <c r="A869" t="s">
        <v>16</v>
      </c>
      <c r="B869" t="s">
        <v>6053</v>
      </c>
      <c r="C869" t="s">
        <v>6054</v>
      </c>
      <c r="D869" t="s">
        <v>6070</v>
      </c>
      <c r="E869" t="s">
        <v>6071</v>
      </c>
      <c r="F869" t="s">
        <v>3562</v>
      </c>
      <c r="G869" t="s">
        <v>6072</v>
      </c>
    </row>
    <row r="870" customHeight="1" spans="1:7">
      <c r="A870" t="s">
        <v>16</v>
      </c>
      <c r="B870" t="s">
        <v>6053</v>
      </c>
      <c r="C870" t="s">
        <v>6054</v>
      </c>
      <c r="D870" t="s">
        <v>6073</v>
      </c>
      <c r="E870" t="s">
        <v>6074</v>
      </c>
      <c r="F870" t="s">
        <v>3562</v>
      </c>
      <c r="G870" t="s">
        <v>6075</v>
      </c>
    </row>
    <row r="871" customHeight="1" spans="1:7">
      <c r="A871" t="s">
        <v>16</v>
      </c>
      <c r="B871" t="s">
        <v>6053</v>
      </c>
      <c r="C871" t="s">
        <v>6054</v>
      </c>
      <c r="D871" t="s">
        <v>6076</v>
      </c>
      <c r="E871" t="s">
        <v>6077</v>
      </c>
      <c r="F871" t="s">
        <v>3562</v>
      </c>
      <c r="G871" t="s">
        <v>6078</v>
      </c>
    </row>
    <row r="872" customHeight="1" spans="1:7">
      <c r="A872" t="s">
        <v>16</v>
      </c>
      <c r="B872" t="s">
        <v>6053</v>
      </c>
      <c r="C872" t="s">
        <v>6054</v>
      </c>
      <c r="D872" t="s">
        <v>6079</v>
      </c>
      <c r="E872" t="s">
        <v>6080</v>
      </c>
      <c r="F872" t="s">
        <v>3562</v>
      </c>
      <c r="G872" t="s">
        <v>6081</v>
      </c>
    </row>
    <row r="873" customHeight="1" spans="1:7">
      <c r="A873" t="s">
        <v>16</v>
      </c>
      <c r="B873" t="s">
        <v>6053</v>
      </c>
      <c r="C873" t="s">
        <v>6054</v>
      </c>
      <c r="D873" t="s">
        <v>6082</v>
      </c>
      <c r="E873" t="s">
        <v>6083</v>
      </c>
      <c r="F873" t="s">
        <v>3562</v>
      </c>
      <c r="G873" t="s">
        <v>6084</v>
      </c>
    </row>
    <row r="874" customHeight="1" spans="1:7">
      <c r="A874" t="s">
        <v>16</v>
      </c>
      <c r="B874" t="s">
        <v>6053</v>
      </c>
      <c r="C874" t="s">
        <v>6054</v>
      </c>
      <c r="D874" t="s">
        <v>6085</v>
      </c>
      <c r="E874" t="s">
        <v>6086</v>
      </c>
      <c r="F874" t="s">
        <v>3562</v>
      </c>
      <c r="G874" t="s">
        <v>6087</v>
      </c>
    </row>
    <row r="875" customHeight="1" spans="1:7">
      <c r="A875" t="s">
        <v>16</v>
      </c>
      <c r="B875" t="s">
        <v>6053</v>
      </c>
      <c r="C875" t="s">
        <v>6054</v>
      </c>
      <c r="D875" t="s">
        <v>6088</v>
      </c>
      <c r="E875" t="s">
        <v>6089</v>
      </c>
      <c r="F875" t="s">
        <v>3562</v>
      </c>
      <c r="G875" t="s">
        <v>6090</v>
      </c>
    </row>
    <row r="876" customHeight="1" spans="1:7">
      <c r="A876" t="s">
        <v>16</v>
      </c>
      <c r="B876" t="s">
        <v>6053</v>
      </c>
      <c r="C876" t="s">
        <v>6054</v>
      </c>
      <c r="D876" t="s">
        <v>6091</v>
      </c>
      <c r="E876" t="s">
        <v>6092</v>
      </c>
      <c r="F876" t="s">
        <v>3562</v>
      </c>
      <c r="G876" t="s">
        <v>6093</v>
      </c>
    </row>
    <row r="877" customHeight="1" spans="1:7">
      <c r="A877" t="s">
        <v>16</v>
      </c>
      <c r="B877" t="s">
        <v>6053</v>
      </c>
      <c r="C877" t="s">
        <v>6054</v>
      </c>
      <c r="D877" t="s">
        <v>6094</v>
      </c>
      <c r="E877" t="s">
        <v>6095</v>
      </c>
      <c r="F877" t="s">
        <v>3562</v>
      </c>
      <c r="G877" t="s">
        <v>6096</v>
      </c>
    </row>
    <row r="878" customHeight="1" spans="1:7">
      <c r="A878" t="s">
        <v>16</v>
      </c>
      <c r="B878" t="s">
        <v>6053</v>
      </c>
      <c r="C878" t="s">
        <v>6054</v>
      </c>
      <c r="D878" t="s">
        <v>6097</v>
      </c>
      <c r="E878" t="s">
        <v>6098</v>
      </c>
      <c r="F878" t="s">
        <v>3562</v>
      </c>
      <c r="G878" t="s">
        <v>6099</v>
      </c>
    </row>
    <row r="879" customHeight="1" spans="1:7">
      <c r="A879" t="s">
        <v>16</v>
      </c>
      <c r="B879" t="s">
        <v>6053</v>
      </c>
      <c r="C879" t="s">
        <v>6054</v>
      </c>
      <c r="D879" t="s">
        <v>6100</v>
      </c>
      <c r="E879" t="s">
        <v>6101</v>
      </c>
      <c r="F879" t="s">
        <v>3562</v>
      </c>
      <c r="G879" t="s">
        <v>6102</v>
      </c>
    </row>
    <row r="880" customHeight="1" spans="1:7">
      <c r="A880" t="s">
        <v>16</v>
      </c>
      <c r="B880" t="s">
        <v>6053</v>
      </c>
      <c r="C880" t="s">
        <v>6054</v>
      </c>
      <c r="D880" t="s">
        <v>4013</v>
      </c>
      <c r="E880" t="s">
        <v>6103</v>
      </c>
      <c r="F880" t="s">
        <v>3562</v>
      </c>
      <c r="G880" t="s">
        <v>6104</v>
      </c>
    </row>
    <row r="881" customHeight="1" spans="1:7">
      <c r="A881" t="s">
        <v>16</v>
      </c>
      <c r="B881" t="s">
        <v>6053</v>
      </c>
      <c r="C881" t="s">
        <v>6054</v>
      </c>
      <c r="D881" t="s">
        <v>6105</v>
      </c>
      <c r="E881" t="s">
        <v>6106</v>
      </c>
      <c r="F881" t="s">
        <v>3562</v>
      </c>
      <c r="G881" t="s">
        <v>6107</v>
      </c>
    </row>
    <row r="882" customHeight="1" spans="1:7">
      <c r="A882" t="s">
        <v>16</v>
      </c>
      <c r="B882" t="s">
        <v>6053</v>
      </c>
      <c r="C882" t="s">
        <v>6054</v>
      </c>
      <c r="D882" t="s">
        <v>6108</v>
      </c>
      <c r="E882" t="s">
        <v>6109</v>
      </c>
      <c r="F882" t="s">
        <v>3562</v>
      </c>
      <c r="G882" t="s">
        <v>6110</v>
      </c>
    </row>
    <row r="883" customHeight="1" spans="1:7">
      <c r="A883" t="s">
        <v>16</v>
      </c>
      <c r="B883" t="s">
        <v>6053</v>
      </c>
      <c r="C883" t="s">
        <v>6054</v>
      </c>
      <c r="D883" t="s">
        <v>6111</v>
      </c>
      <c r="E883" t="s">
        <v>6112</v>
      </c>
      <c r="F883" t="s">
        <v>3562</v>
      </c>
      <c r="G883" t="s">
        <v>6113</v>
      </c>
    </row>
    <row r="884" customHeight="1" spans="1:7">
      <c r="A884" t="s">
        <v>16</v>
      </c>
      <c r="B884" t="s">
        <v>6053</v>
      </c>
      <c r="C884" t="s">
        <v>6054</v>
      </c>
      <c r="D884" t="s">
        <v>6114</v>
      </c>
      <c r="E884" t="s">
        <v>6115</v>
      </c>
      <c r="F884" t="s">
        <v>3562</v>
      </c>
      <c r="G884" t="s">
        <v>6116</v>
      </c>
    </row>
    <row r="885" customHeight="1" spans="1:7">
      <c r="A885" t="s">
        <v>16</v>
      </c>
      <c r="B885" t="s">
        <v>6053</v>
      </c>
      <c r="C885" t="s">
        <v>6054</v>
      </c>
      <c r="D885" t="s">
        <v>6053</v>
      </c>
      <c r="E885" t="s">
        <v>6054</v>
      </c>
      <c r="F885" t="s">
        <v>3559</v>
      </c>
      <c r="G885" t="s">
        <v>6117</v>
      </c>
    </row>
    <row r="886" customHeight="1" spans="1:7">
      <c r="A886" t="s">
        <v>16</v>
      </c>
      <c r="B886" t="s">
        <v>6053</v>
      </c>
      <c r="C886" t="s">
        <v>6054</v>
      </c>
      <c r="D886" t="s">
        <v>6118</v>
      </c>
      <c r="E886" t="s">
        <v>6119</v>
      </c>
      <c r="F886" t="s">
        <v>3562</v>
      </c>
      <c r="G886" t="s">
        <v>6120</v>
      </c>
    </row>
    <row r="887" customHeight="1" spans="1:7">
      <c r="A887" t="s">
        <v>16</v>
      </c>
      <c r="B887" t="s">
        <v>6053</v>
      </c>
      <c r="C887" t="s">
        <v>6054</v>
      </c>
      <c r="D887" t="s">
        <v>6121</v>
      </c>
      <c r="E887" t="s">
        <v>6122</v>
      </c>
      <c r="F887" t="s">
        <v>3562</v>
      </c>
      <c r="G887" t="s">
        <v>6123</v>
      </c>
    </row>
    <row r="888" customHeight="1" spans="1:7">
      <c r="A888" t="s">
        <v>16</v>
      </c>
      <c r="B888" t="s">
        <v>6124</v>
      </c>
      <c r="C888" t="s">
        <v>6125</v>
      </c>
      <c r="D888" t="s">
        <v>6126</v>
      </c>
      <c r="E888" t="s">
        <v>6127</v>
      </c>
      <c r="F888" t="s">
        <v>3562</v>
      </c>
      <c r="G888" t="s">
        <v>6128</v>
      </c>
    </row>
    <row r="889" customHeight="1" spans="1:7">
      <c r="A889" t="s">
        <v>16</v>
      </c>
      <c r="B889" t="s">
        <v>6124</v>
      </c>
      <c r="C889" t="s">
        <v>6125</v>
      </c>
      <c r="D889" t="s">
        <v>6129</v>
      </c>
      <c r="E889" t="s">
        <v>6130</v>
      </c>
      <c r="F889" t="s">
        <v>3562</v>
      </c>
      <c r="G889" t="s">
        <v>6131</v>
      </c>
    </row>
    <row r="890" customHeight="1" spans="1:7">
      <c r="A890" t="s">
        <v>16</v>
      </c>
      <c r="B890" t="s">
        <v>6124</v>
      </c>
      <c r="C890" t="s">
        <v>6125</v>
      </c>
      <c r="D890" t="s">
        <v>6132</v>
      </c>
      <c r="E890" t="s">
        <v>6133</v>
      </c>
      <c r="F890" t="s">
        <v>3562</v>
      </c>
      <c r="G890" t="s">
        <v>6134</v>
      </c>
    </row>
    <row r="891" customHeight="1" spans="1:7">
      <c r="A891" t="s">
        <v>16</v>
      </c>
      <c r="B891" t="s">
        <v>6124</v>
      </c>
      <c r="C891" t="s">
        <v>6125</v>
      </c>
      <c r="D891" t="s">
        <v>6135</v>
      </c>
      <c r="E891" t="s">
        <v>6136</v>
      </c>
      <c r="F891" t="s">
        <v>3562</v>
      </c>
      <c r="G891" t="s">
        <v>6137</v>
      </c>
    </row>
    <row r="892" customHeight="1" spans="1:7">
      <c r="A892" t="s">
        <v>16</v>
      </c>
      <c r="B892" t="s">
        <v>6124</v>
      </c>
      <c r="C892" t="s">
        <v>6125</v>
      </c>
      <c r="D892" t="s">
        <v>6138</v>
      </c>
      <c r="E892" t="s">
        <v>6139</v>
      </c>
      <c r="F892" t="s">
        <v>3562</v>
      </c>
      <c r="G892" t="s">
        <v>6140</v>
      </c>
    </row>
    <row r="893" customHeight="1" spans="1:7">
      <c r="A893" t="s">
        <v>16</v>
      </c>
      <c r="B893" t="s">
        <v>6124</v>
      </c>
      <c r="C893" t="s">
        <v>6125</v>
      </c>
      <c r="D893" t="s">
        <v>6141</v>
      </c>
      <c r="E893" t="s">
        <v>6142</v>
      </c>
      <c r="F893" t="s">
        <v>3562</v>
      </c>
      <c r="G893" t="s">
        <v>6143</v>
      </c>
    </row>
    <row r="894" customHeight="1" spans="1:7">
      <c r="A894" t="s">
        <v>16</v>
      </c>
      <c r="B894" t="s">
        <v>6124</v>
      </c>
      <c r="C894" t="s">
        <v>6125</v>
      </c>
      <c r="D894" t="s">
        <v>6144</v>
      </c>
      <c r="E894" t="s">
        <v>6145</v>
      </c>
      <c r="F894" t="s">
        <v>3562</v>
      </c>
      <c r="G894" t="s">
        <v>6146</v>
      </c>
    </row>
    <row r="895" customHeight="1" spans="1:7">
      <c r="A895" t="s">
        <v>16</v>
      </c>
      <c r="B895" t="s">
        <v>6124</v>
      </c>
      <c r="C895" t="s">
        <v>6125</v>
      </c>
      <c r="D895" t="s">
        <v>6147</v>
      </c>
      <c r="E895" t="s">
        <v>6148</v>
      </c>
      <c r="F895" t="s">
        <v>3562</v>
      </c>
      <c r="G895" t="s">
        <v>6149</v>
      </c>
    </row>
    <row r="896" customHeight="1" spans="1:7">
      <c r="A896" t="s">
        <v>16</v>
      </c>
      <c r="B896" t="s">
        <v>6124</v>
      </c>
      <c r="C896" t="s">
        <v>6125</v>
      </c>
      <c r="D896" t="s">
        <v>6150</v>
      </c>
      <c r="E896" t="s">
        <v>6151</v>
      </c>
      <c r="F896" t="s">
        <v>3562</v>
      </c>
      <c r="G896" t="s">
        <v>6152</v>
      </c>
    </row>
    <row r="897" customHeight="1" spans="1:7">
      <c r="A897" t="s">
        <v>16</v>
      </c>
      <c r="B897" t="s">
        <v>6124</v>
      </c>
      <c r="C897" t="s">
        <v>6125</v>
      </c>
      <c r="D897" t="s">
        <v>6153</v>
      </c>
      <c r="E897" t="s">
        <v>6154</v>
      </c>
      <c r="F897" t="s">
        <v>3562</v>
      </c>
      <c r="G897" t="s">
        <v>6155</v>
      </c>
    </row>
    <row r="898" customHeight="1" spans="1:7">
      <c r="A898" t="s">
        <v>16</v>
      </c>
      <c r="B898" t="s">
        <v>6124</v>
      </c>
      <c r="C898" t="s">
        <v>6125</v>
      </c>
      <c r="D898" t="s">
        <v>6124</v>
      </c>
      <c r="E898" t="s">
        <v>6125</v>
      </c>
      <c r="F898" t="s">
        <v>3559</v>
      </c>
      <c r="G898" t="s">
        <v>6156</v>
      </c>
    </row>
    <row r="899" customHeight="1" spans="1:7">
      <c r="A899" t="s">
        <v>16</v>
      </c>
      <c r="B899" t="s">
        <v>6124</v>
      </c>
      <c r="C899" t="s">
        <v>6125</v>
      </c>
      <c r="D899" t="s">
        <v>6157</v>
      </c>
      <c r="E899" t="s">
        <v>6158</v>
      </c>
      <c r="F899" t="s">
        <v>3562</v>
      </c>
      <c r="G899" t="s">
        <v>6159</v>
      </c>
    </row>
    <row r="900" customHeight="1" spans="1:7">
      <c r="A900" t="s">
        <v>16</v>
      </c>
      <c r="B900" t="s">
        <v>6124</v>
      </c>
      <c r="C900" t="s">
        <v>6125</v>
      </c>
      <c r="D900" t="s">
        <v>6160</v>
      </c>
      <c r="E900" t="s">
        <v>6161</v>
      </c>
      <c r="F900" t="s">
        <v>3562</v>
      </c>
      <c r="G900" t="s">
        <v>6162</v>
      </c>
    </row>
    <row r="901" customHeight="1" spans="1:7">
      <c r="A901" t="s">
        <v>16</v>
      </c>
      <c r="B901" t="s">
        <v>6124</v>
      </c>
      <c r="C901" t="s">
        <v>6125</v>
      </c>
      <c r="D901" t="s">
        <v>6163</v>
      </c>
      <c r="E901" t="s">
        <v>6164</v>
      </c>
      <c r="F901" t="s">
        <v>3562</v>
      </c>
      <c r="G901" t="s">
        <v>6165</v>
      </c>
    </row>
    <row r="902" customHeight="1" spans="1:7">
      <c r="A902" t="s">
        <v>16</v>
      </c>
      <c r="B902" t="s">
        <v>6166</v>
      </c>
      <c r="C902" t="s">
        <v>6167</v>
      </c>
      <c r="D902" t="s">
        <v>6168</v>
      </c>
      <c r="E902" t="s">
        <v>6169</v>
      </c>
      <c r="F902" t="s">
        <v>3562</v>
      </c>
      <c r="G902" t="s">
        <v>6170</v>
      </c>
    </row>
    <row r="903" customHeight="1" spans="1:7">
      <c r="A903" t="s">
        <v>16</v>
      </c>
      <c r="B903" t="s">
        <v>6166</v>
      </c>
      <c r="C903" t="s">
        <v>6167</v>
      </c>
      <c r="D903" t="s">
        <v>6171</v>
      </c>
      <c r="E903" t="s">
        <v>6172</v>
      </c>
      <c r="F903" t="s">
        <v>3562</v>
      </c>
      <c r="G903" t="s">
        <v>6173</v>
      </c>
    </row>
    <row r="904" customHeight="1" spans="1:7">
      <c r="A904" t="s">
        <v>16</v>
      </c>
      <c r="B904" t="s">
        <v>6166</v>
      </c>
      <c r="C904" t="s">
        <v>6167</v>
      </c>
      <c r="D904" t="s">
        <v>6174</v>
      </c>
      <c r="E904" t="s">
        <v>6175</v>
      </c>
      <c r="F904" t="s">
        <v>3562</v>
      </c>
      <c r="G904" t="s">
        <v>6176</v>
      </c>
    </row>
    <row r="905" customHeight="1" spans="1:7">
      <c r="A905" t="s">
        <v>16</v>
      </c>
      <c r="B905" t="s">
        <v>6166</v>
      </c>
      <c r="C905" t="s">
        <v>6167</v>
      </c>
      <c r="D905" t="s">
        <v>6177</v>
      </c>
      <c r="E905" t="s">
        <v>6178</v>
      </c>
      <c r="F905" t="s">
        <v>3562</v>
      </c>
      <c r="G905" t="s">
        <v>6179</v>
      </c>
    </row>
    <row r="906" customHeight="1" spans="1:7">
      <c r="A906" t="s">
        <v>16</v>
      </c>
      <c r="B906" t="s">
        <v>6166</v>
      </c>
      <c r="C906" t="s">
        <v>6167</v>
      </c>
      <c r="D906" t="s">
        <v>6180</v>
      </c>
      <c r="E906" t="s">
        <v>6181</v>
      </c>
      <c r="F906" t="s">
        <v>3562</v>
      </c>
      <c r="G906" t="s">
        <v>6182</v>
      </c>
    </row>
    <row r="907" customHeight="1" spans="1:7">
      <c r="A907" t="s">
        <v>16</v>
      </c>
      <c r="B907" t="s">
        <v>6166</v>
      </c>
      <c r="C907" t="s">
        <v>6167</v>
      </c>
      <c r="D907" t="s">
        <v>6183</v>
      </c>
      <c r="E907" t="s">
        <v>6184</v>
      </c>
      <c r="F907" t="s">
        <v>3562</v>
      </c>
      <c r="G907" t="s">
        <v>6185</v>
      </c>
    </row>
    <row r="908" customHeight="1" spans="1:7">
      <c r="A908" t="s">
        <v>16</v>
      </c>
      <c r="B908" t="s">
        <v>6166</v>
      </c>
      <c r="C908" t="s">
        <v>6167</v>
      </c>
      <c r="D908" t="s">
        <v>6186</v>
      </c>
      <c r="E908" t="s">
        <v>6187</v>
      </c>
      <c r="F908" t="s">
        <v>3562</v>
      </c>
      <c r="G908" t="s">
        <v>6188</v>
      </c>
    </row>
    <row r="909" customHeight="1" spans="1:7">
      <c r="A909" t="s">
        <v>16</v>
      </c>
      <c r="B909" t="s">
        <v>6166</v>
      </c>
      <c r="C909" t="s">
        <v>6167</v>
      </c>
      <c r="D909" t="s">
        <v>6189</v>
      </c>
      <c r="E909" t="s">
        <v>6190</v>
      </c>
      <c r="F909" t="s">
        <v>3562</v>
      </c>
      <c r="G909" t="s">
        <v>6191</v>
      </c>
    </row>
    <row r="910" customHeight="1" spans="1:7">
      <c r="A910" t="s">
        <v>16</v>
      </c>
      <c r="B910" t="s">
        <v>6166</v>
      </c>
      <c r="C910" t="s">
        <v>6167</v>
      </c>
      <c r="D910" t="s">
        <v>6192</v>
      </c>
      <c r="E910" t="s">
        <v>6193</v>
      </c>
      <c r="F910" t="s">
        <v>3562</v>
      </c>
      <c r="G910" t="s">
        <v>6194</v>
      </c>
    </row>
    <row r="911" customHeight="1" spans="1:7">
      <c r="A911" t="s">
        <v>16</v>
      </c>
      <c r="B911" t="s">
        <v>6166</v>
      </c>
      <c r="C911" t="s">
        <v>6167</v>
      </c>
      <c r="D911" t="s">
        <v>4642</v>
      </c>
      <c r="E911" t="s">
        <v>6195</v>
      </c>
      <c r="F911" t="s">
        <v>3562</v>
      </c>
      <c r="G911" t="s">
        <v>6196</v>
      </c>
    </row>
    <row r="912" customHeight="1" spans="1:7">
      <c r="A912" t="s">
        <v>16</v>
      </c>
      <c r="B912" t="s">
        <v>6166</v>
      </c>
      <c r="C912" t="s">
        <v>6167</v>
      </c>
      <c r="D912" t="s">
        <v>6197</v>
      </c>
      <c r="E912" t="s">
        <v>6198</v>
      </c>
      <c r="F912" t="s">
        <v>3562</v>
      </c>
      <c r="G912" t="s">
        <v>6199</v>
      </c>
    </row>
    <row r="913" customHeight="1" spans="1:7">
      <c r="A913" t="s">
        <v>16</v>
      </c>
      <c r="B913" t="s">
        <v>6166</v>
      </c>
      <c r="C913" t="s">
        <v>6167</v>
      </c>
      <c r="D913" t="s">
        <v>6200</v>
      </c>
      <c r="E913" t="s">
        <v>6201</v>
      </c>
      <c r="F913" t="s">
        <v>3562</v>
      </c>
      <c r="G913" t="s">
        <v>6202</v>
      </c>
    </row>
    <row r="914" customHeight="1" spans="1:7">
      <c r="A914" t="s">
        <v>16</v>
      </c>
      <c r="B914" t="s">
        <v>6166</v>
      </c>
      <c r="C914" t="s">
        <v>6167</v>
      </c>
      <c r="D914" t="s">
        <v>6203</v>
      </c>
      <c r="E914" t="s">
        <v>6204</v>
      </c>
      <c r="F914" t="s">
        <v>3562</v>
      </c>
      <c r="G914" t="s">
        <v>6205</v>
      </c>
    </row>
    <row r="915" customHeight="1" spans="1:7">
      <c r="A915" t="s">
        <v>16</v>
      </c>
      <c r="B915" t="s">
        <v>6166</v>
      </c>
      <c r="C915" t="s">
        <v>6167</v>
      </c>
      <c r="D915" t="s">
        <v>6206</v>
      </c>
      <c r="E915" t="s">
        <v>6207</v>
      </c>
      <c r="F915" t="s">
        <v>3562</v>
      </c>
      <c r="G915" t="s">
        <v>6208</v>
      </c>
    </row>
    <row r="916" customHeight="1" spans="1:7">
      <c r="A916" t="s">
        <v>16</v>
      </c>
      <c r="B916" t="s">
        <v>6166</v>
      </c>
      <c r="C916" t="s">
        <v>6167</v>
      </c>
      <c r="D916" t="s">
        <v>6209</v>
      </c>
      <c r="E916" t="s">
        <v>6210</v>
      </c>
      <c r="F916" t="s">
        <v>3562</v>
      </c>
      <c r="G916" t="s">
        <v>6211</v>
      </c>
    </row>
    <row r="917" customHeight="1" spans="1:7">
      <c r="A917" t="s">
        <v>16</v>
      </c>
      <c r="B917" t="s">
        <v>6166</v>
      </c>
      <c r="C917" t="s">
        <v>6167</v>
      </c>
      <c r="D917" t="s">
        <v>6212</v>
      </c>
      <c r="E917" t="s">
        <v>6213</v>
      </c>
      <c r="F917" t="s">
        <v>3562</v>
      </c>
      <c r="G917" t="s">
        <v>6214</v>
      </c>
    </row>
    <row r="918" customHeight="1" spans="1:7">
      <c r="A918" t="s">
        <v>16</v>
      </c>
      <c r="B918" t="s">
        <v>6166</v>
      </c>
      <c r="C918" t="s">
        <v>6167</v>
      </c>
      <c r="D918" t="s">
        <v>6166</v>
      </c>
      <c r="E918" t="s">
        <v>6167</v>
      </c>
      <c r="F918" t="s">
        <v>3559</v>
      </c>
      <c r="G918" t="s">
        <v>6215</v>
      </c>
    </row>
    <row r="919" customHeight="1" spans="1:7">
      <c r="A919" t="s">
        <v>16</v>
      </c>
      <c r="B919" t="s">
        <v>6166</v>
      </c>
      <c r="C919" t="s">
        <v>6167</v>
      </c>
      <c r="D919" t="s">
        <v>4100</v>
      </c>
      <c r="E919" t="s">
        <v>6216</v>
      </c>
      <c r="F919" t="s">
        <v>3562</v>
      </c>
      <c r="G919" t="s">
        <v>6217</v>
      </c>
    </row>
    <row r="920" customHeight="1" spans="1:7">
      <c r="A920" t="s">
        <v>16</v>
      </c>
      <c r="B920" t="s">
        <v>6166</v>
      </c>
      <c r="C920" t="s">
        <v>6167</v>
      </c>
      <c r="D920" t="s">
        <v>6218</v>
      </c>
      <c r="E920" t="s">
        <v>6219</v>
      </c>
      <c r="F920" t="s">
        <v>3562</v>
      </c>
      <c r="G920" t="s">
        <v>6220</v>
      </c>
    </row>
    <row r="921" customHeight="1" spans="1:7">
      <c r="A921" t="s">
        <v>16</v>
      </c>
      <c r="B921" t="s">
        <v>6221</v>
      </c>
      <c r="C921" t="s">
        <v>6222</v>
      </c>
      <c r="D921" t="s">
        <v>6223</v>
      </c>
      <c r="E921" t="s">
        <v>6224</v>
      </c>
      <c r="F921" t="s">
        <v>3562</v>
      </c>
      <c r="G921" t="s">
        <v>6225</v>
      </c>
    </row>
    <row r="922" customHeight="1" spans="1:7">
      <c r="A922" t="s">
        <v>16</v>
      </c>
      <c r="B922" t="s">
        <v>6221</v>
      </c>
      <c r="C922" t="s">
        <v>6222</v>
      </c>
      <c r="D922" t="s">
        <v>6226</v>
      </c>
      <c r="E922" t="s">
        <v>6227</v>
      </c>
      <c r="F922" t="s">
        <v>3562</v>
      </c>
      <c r="G922" t="s">
        <v>6228</v>
      </c>
    </row>
    <row r="923" customHeight="1" spans="1:7">
      <c r="A923" t="s">
        <v>16</v>
      </c>
      <c r="B923" t="s">
        <v>6221</v>
      </c>
      <c r="C923" t="s">
        <v>6222</v>
      </c>
      <c r="D923" t="s">
        <v>6229</v>
      </c>
      <c r="E923" t="s">
        <v>6230</v>
      </c>
      <c r="F923" t="s">
        <v>3562</v>
      </c>
      <c r="G923" t="s">
        <v>6231</v>
      </c>
    </row>
    <row r="924" customHeight="1" spans="1:7">
      <c r="A924" t="s">
        <v>16</v>
      </c>
      <c r="B924" t="s">
        <v>6221</v>
      </c>
      <c r="C924" t="s">
        <v>6222</v>
      </c>
      <c r="D924" t="s">
        <v>6232</v>
      </c>
      <c r="E924" t="s">
        <v>6233</v>
      </c>
      <c r="F924" t="s">
        <v>3562</v>
      </c>
      <c r="G924" t="s">
        <v>6234</v>
      </c>
    </row>
    <row r="925" customHeight="1" spans="1:7">
      <c r="A925" t="s">
        <v>16</v>
      </c>
      <c r="B925" t="s">
        <v>6221</v>
      </c>
      <c r="C925" t="s">
        <v>6222</v>
      </c>
      <c r="D925" t="s">
        <v>6235</v>
      </c>
      <c r="E925" t="s">
        <v>6236</v>
      </c>
      <c r="F925" t="s">
        <v>3567</v>
      </c>
      <c r="G925" t="s">
        <v>6237</v>
      </c>
    </row>
    <row r="926" customHeight="1" spans="1:7">
      <c r="A926" t="s">
        <v>16</v>
      </c>
      <c r="B926" t="s">
        <v>6221</v>
      </c>
      <c r="C926" t="s">
        <v>6222</v>
      </c>
      <c r="D926" t="s">
        <v>6238</v>
      </c>
      <c r="E926" t="s">
        <v>6239</v>
      </c>
      <c r="F926" t="s">
        <v>3562</v>
      </c>
      <c r="G926" t="s">
        <v>6240</v>
      </c>
    </row>
    <row r="927" customHeight="1" spans="1:7">
      <c r="A927" t="s">
        <v>16</v>
      </c>
      <c r="B927" t="s">
        <v>6221</v>
      </c>
      <c r="C927" t="s">
        <v>6222</v>
      </c>
      <c r="D927" t="s">
        <v>6241</v>
      </c>
      <c r="E927" t="s">
        <v>6242</v>
      </c>
      <c r="F927" t="s">
        <v>3562</v>
      </c>
      <c r="G927" t="s">
        <v>6243</v>
      </c>
    </row>
    <row r="928" customHeight="1" spans="1:7">
      <c r="A928" t="s">
        <v>16</v>
      </c>
      <c r="B928" t="s">
        <v>6221</v>
      </c>
      <c r="C928" t="s">
        <v>6222</v>
      </c>
      <c r="D928" t="s">
        <v>6244</v>
      </c>
      <c r="E928" t="s">
        <v>6245</v>
      </c>
      <c r="F928" t="s">
        <v>3562</v>
      </c>
      <c r="G928" t="s">
        <v>6246</v>
      </c>
    </row>
    <row r="929" customHeight="1" spans="1:7">
      <c r="A929" t="s">
        <v>16</v>
      </c>
      <c r="B929" t="s">
        <v>6221</v>
      </c>
      <c r="C929" t="s">
        <v>6222</v>
      </c>
      <c r="D929" t="s">
        <v>6247</v>
      </c>
      <c r="E929" t="s">
        <v>6248</v>
      </c>
      <c r="F929" t="s">
        <v>3562</v>
      </c>
      <c r="G929" t="s">
        <v>6249</v>
      </c>
    </row>
    <row r="930" customHeight="1" spans="1:7">
      <c r="A930" t="s">
        <v>16</v>
      </c>
      <c r="B930" t="s">
        <v>6221</v>
      </c>
      <c r="C930" t="s">
        <v>6222</v>
      </c>
      <c r="D930" t="s">
        <v>6250</v>
      </c>
      <c r="E930" t="s">
        <v>6251</v>
      </c>
      <c r="F930" t="s">
        <v>3562</v>
      </c>
      <c r="G930" t="s">
        <v>6252</v>
      </c>
    </row>
    <row r="931" customHeight="1" spans="1:7">
      <c r="A931" t="s">
        <v>16</v>
      </c>
      <c r="B931" t="s">
        <v>6221</v>
      </c>
      <c r="C931" t="s">
        <v>6222</v>
      </c>
      <c r="D931" t="s">
        <v>6253</v>
      </c>
      <c r="E931" t="s">
        <v>6254</v>
      </c>
      <c r="F931" t="s">
        <v>3562</v>
      </c>
      <c r="G931" t="s">
        <v>6255</v>
      </c>
    </row>
    <row r="932" customHeight="1" spans="1:7">
      <c r="A932" t="s">
        <v>16</v>
      </c>
      <c r="B932" t="s">
        <v>6221</v>
      </c>
      <c r="C932" t="s">
        <v>6222</v>
      </c>
      <c r="D932" t="s">
        <v>6256</v>
      </c>
      <c r="E932" t="s">
        <v>6257</v>
      </c>
      <c r="F932" t="s">
        <v>3562</v>
      </c>
      <c r="G932" t="s">
        <v>6258</v>
      </c>
    </row>
    <row r="933" customHeight="1" spans="1:7">
      <c r="A933" t="s">
        <v>16</v>
      </c>
      <c r="B933" t="s">
        <v>6221</v>
      </c>
      <c r="C933" t="s">
        <v>6222</v>
      </c>
      <c r="D933" t="s">
        <v>6259</v>
      </c>
      <c r="E933" t="s">
        <v>6260</v>
      </c>
      <c r="F933" t="s">
        <v>3562</v>
      </c>
      <c r="G933" t="s">
        <v>6261</v>
      </c>
    </row>
    <row r="934" customHeight="1" spans="1:7">
      <c r="A934" t="s">
        <v>16</v>
      </c>
      <c r="B934" t="s">
        <v>6221</v>
      </c>
      <c r="C934" t="s">
        <v>6222</v>
      </c>
      <c r="D934" t="s">
        <v>6262</v>
      </c>
      <c r="E934" t="s">
        <v>6263</v>
      </c>
      <c r="F934" t="s">
        <v>3562</v>
      </c>
      <c r="G934" t="s">
        <v>6264</v>
      </c>
    </row>
    <row r="935" customHeight="1" spans="1:7">
      <c r="A935" t="s">
        <v>16</v>
      </c>
      <c r="B935" t="s">
        <v>6221</v>
      </c>
      <c r="C935" t="s">
        <v>6222</v>
      </c>
      <c r="D935" t="s">
        <v>6265</v>
      </c>
      <c r="E935" t="s">
        <v>6266</v>
      </c>
      <c r="F935" t="s">
        <v>3562</v>
      </c>
      <c r="G935" t="s">
        <v>6267</v>
      </c>
    </row>
    <row r="936" customHeight="1" spans="1:7">
      <c r="A936" t="s">
        <v>16</v>
      </c>
      <c r="B936" t="s">
        <v>6221</v>
      </c>
      <c r="C936" t="s">
        <v>6222</v>
      </c>
      <c r="D936" t="s">
        <v>6268</v>
      </c>
      <c r="E936" t="s">
        <v>6269</v>
      </c>
      <c r="F936" t="s">
        <v>3562</v>
      </c>
      <c r="G936" t="s">
        <v>6270</v>
      </c>
    </row>
    <row r="937" customHeight="1" spans="1:7">
      <c r="A937" t="s">
        <v>16</v>
      </c>
      <c r="B937" t="s">
        <v>6221</v>
      </c>
      <c r="C937" t="s">
        <v>6222</v>
      </c>
      <c r="D937" t="s">
        <v>6271</v>
      </c>
      <c r="E937" t="s">
        <v>6272</v>
      </c>
      <c r="F937" t="s">
        <v>3562</v>
      </c>
      <c r="G937" t="s">
        <v>6273</v>
      </c>
    </row>
    <row r="938" customHeight="1" spans="1:7">
      <c r="A938" t="s">
        <v>16</v>
      </c>
      <c r="B938" t="s">
        <v>6221</v>
      </c>
      <c r="C938" t="s">
        <v>6222</v>
      </c>
      <c r="D938" t="s">
        <v>6274</v>
      </c>
      <c r="E938" t="s">
        <v>6275</v>
      </c>
      <c r="F938" t="s">
        <v>3562</v>
      </c>
      <c r="G938" t="s">
        <v>6276</v>
      </c>
    </row>
    <row r="939" customHeight="1" spans="1:7">
      <c r="A939" t="s">
        <v>16</v>
      </c>
      <c r="B939" t="s">
        <v>6221</v>
      </c>
      <c r="C939" t="s">
        <v>6222</v>
      </c>
      <c r="D939" t="s">
        <v>6277</v>
      </c>
      <c r="E939" t="s">
        <v>6278</v>
      </c>
      <c r="F939" t="s">
        <v>3562</v>
      </c>
      <c r="G939" t="s">
        <v>6279</v>
      </c>
    </row>
    <row r="940" customHeight="1" spans="1:7">
      <c r="A940" t="s">
        <v>16</v>
      </c>
      <c r="B940" t="s">
        <v>6221</v>
      </c>
      <c r="C940" t="s">
        <v>6222</v>
      </c>
      <c r="D940" t="s">
        <v>6280</v>
      </c>
      <c r="E940" t="s">
        <v>6281</v>
      </c>
      <c r="F940" t="s">
        <v>3562</v>
      </c>
      <c r="G940" t="s">
        <v>6282</v>
      </c>
    </row>
    <row r="941" customHeight="1" spans="1:7">
      <c r="A941" t="s">
        <v>16</v>
      </c>
      <c r="B941" t="s">
        <v>6221</v>
      </c>
      <c r="C941" t="s">
        <v>6222</v>
      </c>
      <c r="D941" t="s">
        <v>6283</v>
      </c>
      <c r="E941" t="s">
        <v>6284</v>
      </c>
      <c r="F941" t="s">
        <v>3562</v>
      </c>
      <c r="G941" t="s">
        <v>6285</v>
      </c>
    </row>
    <row r="942" customHeight="1" spans="1:7">
      <c r="A942" t="s">
        <v>16</v>
      </c>
      <c r="B942" t="s">
        <v>6221</v>
      </c>
      <c r="C942" t="s">
        <v>6222</v>
      </c>
      <c r="D942" t="s">
        <v>6221</v>
      </c>
      <c r="E942" t="s">
        <v>6222</v>
      </c>
      <c r="F942" t="s">
        <v>3559</v>
      </c>
      <c r="G942" t="s">
        <v>6286</v>
      </c>
    </row>
    <row r="943" customHeight="1" spans="1:7">
      <c r="A943" t="s">
        <v>16</v>
      </c>
      <c r="B943" t="s">
        <v>6221</v>
      </c>
      <c r="C943" t="s">
        <v>6222</v>
      </c>
      <c r="D943" t="s">
        <v>6287</v>
      </c>
      <c r="E943" t="s">
        <v>6288</v>
      </c>
      <c r="F943" t="s">
        <v>3562</v>
      </c>
      <c r="G943" t="s">
        <v>6289</v>
      </c>
    </row>
    <row r="944" customHeight="1" spans="1:7">
      <c r="A944" t="s">
        <v>16</v>
      </c>
      <c r="B944" t="s">
        <v>6221</v>
      </c>
      <c r="C944" t="s">
        <v>6222</v>
      </c>
      <c r="D944" t="s">
        <v>6290</v>
      </c>
      <c r="E944" t="s">
        <v>6291</v>
      </c>
      <c r="F944" t="s">
        <v>3562</v>
      </c>
      <c r="G944" t="s">
        <v>6292</v>
      </c>
    </row>
    <row r="945" customHeight="1" spans="1:7">
      <c r="A945" t="s">
        <v>16</v>
      </c>
      <c r="B945" t="s">
        <v>6221</v>
      </c>
      <c r="C945" t="s">
        <v>6222</v>
      </c>
      <c r="D945" t="s">
        <v>6293</v>
      </c>
      <c r="E945" t="s">
        <v>6294</v>
      </c>
      <c r="F945" t="s">
        <v>3562</v>
      </c>
      <c r="G945" t="s">
        <v>6295</v>
      </c>
    </row>
    <row r="946" customHeight="1" spans="1:7">
      <c r="A946" t="s">
        <v>16</v>
      </c>
      <c r="B946" t="s">
        <v>6296</v>
      </c>
      <c r="C946" t="s">
        <v>6297</v>
      </c>
      <c r="D946" t="s">
        <v>6298</v>
      </c>
      <c r="E946" t="s">
        <v>6299</v>
      </c>
      <c r="F946" t="s">
        <v>3562</v>
      </c>
      <c r="G946" t="s">
        <v>6300</v>
      </c>
    </row>
    <row r="947" customHeight="1" spans="1:7">
      <c r="A947" t="s">
        <v>16</v>
      </c>
      <c r="B947" t="s">
        <v>6296</v>
      </c>
      <c r="C947" t="s">
        <v>6297</v>
      </c>
      <c r="D947" t="s">
        <v>4309</v>
      </c>
      <c r="E947" t="s">
        <v>6301</v>
      </c>
      <c r="F947" t="s">
        <v>3562</v>
      </c>
      <c r="G947" t="s">
        <v>6302</v>
      </c>
    </row>
    <row r="948" customHeight="1" spans="1:7">
      <c r="A948" t="s">
        <v>16</v>
      </c>
      <c r="B948" t="s">
        <v>6296</v>
      </c>
      <c r="C948" t="s">
        <v>6297</v>
      </c>
      <c r="D948" t="s">
        <v>6303</v>
      </c>
      <c r="E948" t="s">
        <v>6304</v>
      </c>
      <c r="F948" t="s">
        <v>3562</v>
      </c>
      <c r="G948" t="s">
        <v>6305</v>
      </c>
    </row>
    <row r="949" customHeight="1" spans="1:7">
      <c r="A949" t="s">
        <v>16</v>
      </c>
      <c r="B949" t="s">
        <v>6296</v>
      </c>
      <c r="C949" t="s">
        <v>6297</v>
      </c>
      <c r="D949" t="s">
        <v>6306</v>
      </c>
      <c r="E949" t="s">
        <v>6307</v>
      </c>
      <c r="F949" t="s">
        <v>3562</v>
      </c>
      <c r="G949" t="s">
        <v>6308</v>
      </c>
    </row>
    <row r="950" customHeight="1" spans="1:7">
      <c r="A950" t="s">
        <v>16</v>
      </c>
      <c r="B950" t="s">
        <v>6296</v>
      </c>
      <c r="C950" t="s">
        <v>6297</v>
      </c>
      <c r="D950" t="s">
        <v>6309</v>
      </c>
      <c r="E950" t="s">
        <v>6310</v>
      </c>
      <c r="F950" t="s">
        <v>3562</v>
      </c>
      <c r="G950" t="s">
        <v>6311</v>
      </c>
    </row>
    <row r="951" customHeight="1" spans="1:7">
      <c r="A951" t="s">
        <v>16</v>
      </c>
      <c r="B951" t="s">
        <v>6296</v>
      </c>
      <c r="C951" t="s">
        <v>6297</v>
      </c>
      <c r="D951" t="s">
        <v>6312</v>
      </c>
      <c r="E951" t="s">
        <v>6313</v>
      </c>
      <c r="F951" t="s">
        <v>3562</v>
      </c>
      <c r="G951" t="s">
        <v>6314</v>
      </c>
    </row>
    <row r="952" customHeight="1" spans="1:7">
      <c r="A952" t="s">
        <v>16</v>
      </c>
      <c r="B952" t="s">
        <v>6296</v>
      </c>
      <c r="C952" t="s">
        <v>6297</v>
      </c>
      <c r="D952" t="s">
        <v>6315</v>
      </c>
      <c r="E952" t="s">
        <v>6316</v>
      </c>
      <c r="F952" t="s">
        <v>3562</v>
      </c>
      <c r="G952" t="s">
        <v>6317</v>
      </c>
    </row>
    <row r="953" customHeight="1" spans="1:7">
      <c r="A953" t="s">
        <v>16</v>
      </c>
      <c r="B953" t="s">
        <v>6296</v>
      </c>
      <c r="C953" t="s">
        <v>6297</v>
      </c>
      <c r="D953" t="s">
        <v>6318</v>
      </c>
      <c r="E953" t="s">
        <v>6319</v>
      </c>
      <c r="F953" t="s">
        <v>3562</v>
      </c>
      <c r="G953" t="s">
        <v>6320</v>
      </c>
    </row>
    <row r="954" customHeight="1" spans="1:7">
      <c r="A954" t="s">
        <v>16</v>
      </c>
      <c r="B954" t="s">
        <v>6296</v>
      </c>
      <c r="C954" t="s">
        <v>6297</v>
      </c>
      <c r="D954" t="s">
        <v>6321</v>
      </c>
      <c r="E954" t="s">
        <v>6322</v>
      </c>
      <c r="F954" t="s">
        <v>3562</v>
      </c>
      <c r="G954" t="s">
        <v>6323</v>
      </c>
    </row>
    <row r="955" customHeight="1" spans="1:7">
      <c r="A955" t="s">
        <v>16</v>
      </c>
      <c r="B955" t="s">
        <v>6296</v>
      </c>
      <c r="C955" t="s">
        <v>6297</v>
      </c>
      <c r="D955" t="s">
        <v>6296</v>
      </c>
      <c r="E955" t="s">
        <v>6297</v>
      </c>
      <c r="F955" t="s">
        <v>3559</v>
      </c>
      <c r="G955" t="s">
        <v>6324</v>
      </c>
    </row>
    <row r="956" customHeight="1" spans="1:7">
      <c r="A956" t="s">
        <v>16</v>
      </c>
      <c r="B956" t="s">
        <v>6296</v>
      </c>
      <c r="C956" t="s">
        <v>6297</v>
      </c>
      <c r="D956" t="s">
        <v>6325</v>
      </c>
      <c r="E956" t="s">
        <v>6326</v>
      </c>
      <c r="F956" t="s">
        <v>3562</v>
      </c>
      <c r="G956" t="s">
        <v>6327</v>
      </c>
    </row>
    <row r="957" customHeight="1" spans="1:7">
      <c r="A957" t="s">
        <v>16</v>
      </c>
      <c r="B957" t="s">
        <v>6296</v>
      </c>
      <c r="C957" t="s">
        <v>6297</v>
      </c>
      <c r="D957" t="s">
        <v>6328</v>
      </c>
      <c r="E957" t="s">
        <v>6329</v>
      </c>
      <c r="F957" t="s">
        <v>3664</v>
      </c>
      <c r="G957" t="s">
        <v>6330</v>
      </c>
    </row>
  </sheetData>
  <sheetProtection insertRows="0" deleteColumns="0" deleteRows="0" sort="0" autoFilter="0"/>
  <pageMargins left="0.7" right="0.7" top="0.75" bottom="0.75" header="0.3" footer="0.3"/>
  <pageSetup paperSize="9" orientation="portrait"/>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I34"/>
  <sheetViews>
    <sheetView showGridLines="0" workbookViewId="0">
      <selection activeCell="A1" sqref="A1"/>
    </sheetView>
  </sheetViews>
  <sheetFormatPr defaultColWidth="9.14285714285714" defaultRowHeight="11.25" customHeight="1"/>
  <cols>
    <col min="1" max="1" width="13.847619047619" style="4" customWidth="1"/>
    <col min="2" max="2" width="10.4190476190476" style="4" customWidth="1"/>
    <col min="3" max="3" width="7.57142857142857" style="4" customWidth="1"/>
    <col min="4" max="4" width="13.847619047619" style="4" customWidth="1"/>
    <col min="5" max="5" width="11.5714285714286" style="4" customWidth="1"/>
    <col min="6" max="6" width="16.2857142857143" style="4" customWidth="1"/>
    <col min="7" max="7" width="16" style="4" customWidth="1"/>
    <col min="8" max="9" width="16.1428571428571" style="4" customWidth="1"/>
  </cols>
  <sheetData>
    <row r="1" customHeight="1" spans="1:9">
      <c r="A1" s="4" t="s">
        <v>6331</v>
      </c>
      <c r="B1" s="4" t="s">
        <v>6332</v>
      </c>
      <c r="C1" s="4" t="s">
        <v>6333</v>
      </c>
      <c r="D1" s="4" t="s">
        <v>6334</v>
      </c>
      <c r="E1" s="4" t="s">
        <v>6335</v>
      </c>
      <c r="F1" s="4" t="s">
        <v>6336</v>
      </c>
      <c r="G1" s="4" t="s">
        <v>6337</v>
      </c>
      <c r="H1" s="4" t="s">
        <v>6338</v>
      </c>
      <c r="I1" s="4" t="s">
        <v>6339</v>
      </c>
    </row>
    <row r="2" customHeight="1" spans="1:9">
      <c r="A2" s="4" t="s">
        <v>111</v>
      </c>
      <c r="B2" s="4" t="s">
        <v>6340</v>
      </c>
      <c r="C2" s="4" t="s">
        <v>28</v>
      </c>
      <c r="D2" s="4" t="s">
        <v>6341</v>
      </c>
      <c r="E2" s="4" t="s">
        <v>6342</v>
      </c>
      <c r="F2" s="4" t="s">
        <v>28</v>
      </c>
      <c r="G2" s="4" t="s">
        <v>28</v>
      </c>
      <c r="H2" s="4" t="s">
        <v>28</v>
      </c>
      <c r="I2" s="4" t="s">
        <v>28</v>
      </c>
    </row>
    <row r="3" customHeight="1" spans="1:9">
      <c r="A3" s="4" t="s">
        <v>112</v>
      </c>
      <c r="B3" s="4" t="s">
        <v>6343</v>
      </c>
      <c r="C3" s="4" t="s">
        <v>28</v>
      </c>
      <c r="D3" s="4" t="s">
        <v>6341</v>
      </c>
      <c r="E3" s="4" t="s">
        <v>6342</v>
      </c>
      <c r="F3" s="4" t="s">
        <v>28</v>
      </c>
      <c r="G3" s="4" t="s">
        <v>28</v>
      </c>
      <c r="H3" s="4" t="s">
        <v>28</v>
      </c>
      <c r="I3" s="4" t="s">
        <v>28</v>
      </c>
    </row>
    <row r="4" customHeight="1" spans="1:9">
      <c r="A4" s="4" t="s">
        <v>91</v>
      </c>
      <c r="B4" s="4" t="s">
        <v>6344</v>
      </c>
      <c r="C4" s="4" t="s">
        <v>28</v>
      </c>
      <c r="D4" s="4" t="s">
        <v>6341</v>
      </c>
      <c r="E4" s="4" t="s">
        <v>6342</v>
      </c>
      <c r="F4" s="4" t="s">
        <v>28</v>
      </c>
      <c r="G4" s="4" t="s">
        <v>28</v>
      </c>
      <c r="H4" s="4" t="s">
        <v>28</v>
      </c>
      <c r="I4" s="4" t="s">
        <v>28</v>
      </c>
    </row>
    <row r="5" customHeight="1" spans="1:9">
      <c r="A5" s="4" t="s">
        <v>92</v>
      </c>
      <c r="B5" s="4" t="s">
        <v>6345</v>
      </c>
      <c r="C5" s="4" t="s">
        <v>28</v>
      </c>
      <c r="D5" s="4" t="s">
        <v>6341</v>
      </c>
      <c r="E5" s="4" t="s">
        <v>6346</v>
      </c>
      <c r="F5" s="4" t="s">
        <v>28</v>
      </c>
      <c r="G5" s="4" t="s">
        <v>28</v>
      </c>
      <c r="H5" s="4" t="s">
        <v>28</v>
      </c>
      <c r="I5" s="4" t="s">
        <v>28</v>
      </c>
    </row>
    <row r="6" customHeight="1" spans="1:9">
      <c r="A6" s="4" t="s">
        <v>113</v>
      </c>
      <c r="B6" s="4" t="s">
        <v>6347</v>
      </c>
      <c r="C6" s="4" t="s">
        <v>28</v>
      </c>
      <c r="D6" s="4" t="s">
        <v>6341</v>
      </c>
      <c r="E6" s="4" t="s">
        <v>6342</v>
      </c>
      <c r="F6" s="4" t="s">
        <v>28</v>
      </c>
      <c r="G6" s="4" t="s">
        <v>28</v>
      </c>
      <c r="H6" s="4" t="s">
        <v>28</v>
      </c>
      <c r="I6" s="4" t="s">
        <v>28</v>
      </c>
    </row>
    <row r="7" customHeight="1" spans="1:9">
      <c r="A7" s="4" t="s">
        <v>93</v>
      </c>
      <c r="B7" s="4" t="s">
        <v>6348</v>
      </c>
      <c r="C7" s="4" t="s">
        <v>28</v>
      </c>
      <c r="D7" s="4" t="s">
        <v>6349</v>
      </c>
      <c r="E7" s="4" t="s">
        <v>6346</v>
      </c>
      <c r="F7" s="4" t="s">
        <v>28</v>
      </c>
      <c r="G7" s="4" t="s">
        <v>28</v>
      </c>
      <c r="H7" s="4" t="s">
        <v>28</v>
      </c>
      <c r="I7" s="4" t="s">
        <v>28</v>
      </c>
    </row>
    <row r="8" customHeight="1" spans="1:9">
      <c r="A8" s="4" t="s">
        <v>94</v>
      </c>
      <c r="B8" s="4" t="s">
        <v>6350</v>
      </c>
      <c r="C8" s="4" t="s">
        <v>28</v>
      </c>
      <c r="D8" s="4" t="s">
        <v>6341</v>
      </c>
      <c r="E8" s="4" t="s">
        <v>6351</v>
      </c>
      <c r="F8" s="4" t="s">
        <v>28</v>
      </c>
      <c r="G8" s="4" t="s">
        <v>28</v>
      </c>
      <c r="H8" s="4" t="s">
        <v>28</v>
      </c>
      <c r="I8" s="4" t="s">
        <v>28</v>
      </c>
    </row>
    <row r="9" customHeight="1" spans="1:9">
      <c r="A9" s="4" t="s">
        <v>114</v>
      </c>
      <c r="B9" s="4" t="s">
        <v>6352</v>
      </c>
      <c r="C9" s="4" t="s">
        <v>28</v>
      </c>
      <c r="D9" s="4" t="s">
        <v>6349</v>
      </c>
      <c r="E9" s="4" t="s">
        <v>6346</v>
      </c>
      <c r="F9" s="4" t="s">
        <v>28</v>
      </c>
      <c r="G9" s="4" t="s">
        <v>28</v>
      </c>
      <c r="H9" s="4" t="s">
        <v>28</v>
      </c>
      <c r="I9" s="4" t="s">
        <v>28</v>
      </c>
    </row>
    <row r="10" customHeight="1" spans="1:9">
      <c r="A10" s="4" t="s">
        <v>150</v>
      </c>
      <c r="B10" s="4" t="s">
        <v>6353</v>
      </c>
      <c r="C10" s="4" t="s">
        <v>28</v>
      </c>
      <c r="D10" s="4" t="s">
        <v>6349</v>
      </c>
      <c r="E10" s="4" t="s">
        <v>6346</v>
      </c>
      <c r="F10" s="4" t="s">
        <v>28</v>
      </c>
      <c r="G10" s="4" t="s">
        <v>28</v>
      </c>
      <c r="H10" s="4" t="s">
        <v>28</v>
      </c>
      <c r="I10" s="4" t="s">
        <v>28</v>
      </c>
    </row>
    <row r="11" customHeight="1" spans="1:9">
      <c r="A11" s="4" t="s">
        <v>151</v>
      </c>
      <c r="B11" s="4" t="s">
        <v>6354</v>
      </c>
      <c r="C11" s="4" t="s">
        <v>28</v>
      </c>
      <c r="D11" s="4" t="s">
        <v>6349</v>
      </c>
      <c r="E11" s="4" t="s">
        <v>6346</v>
      </c>
      <c r="F11" s="4" t="s">
        <v>28</v>
      </c>
      <c r="G11" s="4" t="s">
        <v>28</v>
      </c>
      <c r="H11" s="4" t="s">
        <v>28</v>
      </c>
      <c r="I11" s="4" t="s">
        <v>28</v>
      </c>
    </row>
    <row r="12" customHeight="1" spans="1:9">
      <c r="A12" s="4" t="s">
        <v>152</v>
      </c>
      <c r="B12" s="4" t="s">
        <v>6355</v>
      </c>
      <c r="C12" s="4" t="s">
        <v>28</v>
      </c>
      <c r="D12" s="4" t="s">
        <v>6349</v>
      </c>
      <c r="E12" s="4" t="s">
        <v>6346</v>
      </c>
      <c r="F12" s="4" t="s">
        <v>28</v>
      </c>
      <c r="G12" s="4" t="s">
        <v>28</v>
      </c>
      <c r="H12" s="4" t="s">
        <v>28</v>
      </c>
      <c r="I12" s="4" t="s">
        <v>28</v>
      </c>
    </row>
    <row r="13" customHeight="1" spans="1:9">
      <c r="A13" s="4" t="s">
        <v>153</v>
      </c>
      <c r="B13" s="4" t="s">
        <v>6356</v>
      </c>
      <c r="C13" s="4" t="s">
        <v>28</v>
      </c>
      <c r="D13" s="4" t="s">
        <v>6349</v>
      </c>
      <c r="E13" s="4" t="s">
        <v>6342</v>
      </c>
      <c r="F13" s="4" t="s">
        <v>28</v>
      </c>
      <c r="G13" s="4" t="s">
        <v>28</v>
      </c>
      <c r="H13" s="4" t="s">
        <v>28</v>
      </c>
      <c r="I13" s="4" t="s">
        <v>28</v>
      </c>
    </row>
    <row r="14" customHeight="1" spans="1:9">
      <c r="A14" s="4" t="s">
        <v>154</v>
      </c>
      <c r="B14" s="4" t="s">
        <v>6357</v>
      </c>
      <c r="C14" s="4" t="s">
        <v>28</v>
      </c>
      <c r="D14" s="4" t="s">
        <v>6349</v>
      </c>
      <c r="E14" s="4" t="s">
        <v>6346</v>
      </c>
      <c r="F14" s="4" t="s">
        <v>28</v>
      </c>
      <c r="G14" s="4" t="s">
        <v>28</v>
      </c>
      <c r="H14" s="4" t="s">
        <v>28</v>
      </c>
      <c r="I14" s="4" t="s">
        <v>28</v>
      </c>
    </row>
    <row r="15" customHeight="1" spans="1:9">
      <c r="A15" s="4" t="s">
        <v>155</v>
      </c>
      <c r="B15" s="4" t="s">
        <v>6358</v>
      </c>
      <c r="C15" s="4" t="s">
        <v>28</v>
      </c>
      <c r="D15" s="4" t="s">
        <v>6349</v>
      </c>
      <c r="E15" s="4" t="s">
        <v>6346</v>
      </c>
      <c r="F15" s="4" t="s">
        <v>28</v>
      </c>
      <c r="G15" s="4" t="s">
        <v>28</v>
      </c>
      <c r="H15" s="4" t="s">
        <v>28</v>
      </c>
      <c r="I15" s="4" t="s">
        <v>28</v>
      </c>
    </row>
    <row r="16" customHeight="1" spans="1:9">
      <c r="A16" s="4" t="s">
        <v>1480</v>
      </c>
      <c r="B16" s="4" t="s">
        <v>6359</v>
      </c>
      <c r="C16" s="4" t="s">
        <v>28</v>
      </c>
      <c r="D16" s="4" t="s">
        <v>6360</v>
      </c>
      <c r="E16" s="4" t="s">
        <v>6361</v>
      </c>
      <c r="F16" s="4" t="s">
        <v>28</v>
      </c>
      <c r="G16" s="4" t="s">
        <v>28</v>
      </c>
      <c r="H16" s="4" t="s">
        <v>28</v>
      </c>
      <c r="I16" s="4" t="s">
        <v>28</v>
      </c>
    </row>
    <row r="17" customHeight="1" spans="1:9">
      <c r="A17" s="4" t="s">
        <v>1486</v>
      </c>
      <c r="B17" s="4" t="s">
        <v>6362</v>
      </c>
      <c r="C17" s="4" t="s">
        <v>28</v>
      </c>
      <c r="D17" s="4" t="s">
        <v>6360</v>
      </c>
      <c r="E17" s="4" t="s">
        <v>6361</v>
      </c>
      <c r="F17" s="4" t="s">
        <v>28</v>
      </c>
      <c r="G17" s="4" t="s">
        <v>28</v>
      </c>
      <c r="H17" s="4" t="s">
        <v>28</v>
      </c>
      <c r="I17" s="4" t="s">
        <v>28</v>
      </c>
    </row>
    <row r="18" customHeight="1" spans="1:9">
      <c r="A18" s="4" t="s">
        <v>1498</v>
      </c>
      <c r="B18" s="4" t="s">
        <v>6363</v>
      </c>
      <c r="C18" s="4" t="s">
        <v>28</v>
      </c>
      <c r="D18" s="4" t="s">
        <v>6360</v>
      </c>
      <c r="E18" s="4" t="s">
        <v>6361</v>
      </c>
      <c r="F18" s="4" t="s">
        <v>28</v>
      </c>
      <c r="G18" s="4" t="s">
        <v>28</v>
      </c>
      <c r="H18" s="4" t="s">
        <v>28</v>
      </c>
      <c r="I18" s="4" t="s">
        <v>28</v>
      </c>
    </row>
    <row r="19" customHeight="1" spans="1:9">
      <c r="A19" s="4" t="s">
        <v>1512</v>
      </c>
      <c r="B19" s="4" t="s">
        <v>6364</v>
      </c>
      <c r="C19" s="4" t="s">
        <v>28</v>
      </c>
      <c r="D19" s="4" t="s">
        <v>6360</v>
      </c>
      <c r="E19" s="4" t="s">
        <v>6361</v>
      </c>
      <c r="F19" s="4" t="s">
        <v>28</v>
      </c>
      <c r="G19" s="4" t="s">
        <v>28</v>
      </c>
      <c r="H19" s="4" t="s">
        <v>28</v>
      </c>
      <c r="I19" s="4" t="s">
        <v>28</v>
      </c>
    </row>
    <row r="20" customHeight="1" spans="1:9">
      <c r="A20" s="4" t="s">
        <v>1524</v>
      </c>
      <c r="B20" s="4" t="s">
        <v>6365</v>
      </c>
      <c r="C20" s="4" t="s">
        <v>28</v>
      </c>
      <c r="D20" s="4" t="s">
        <v>6360</v>
      </c>
      <c r="E20" s="4" t="s">
        <v>6361</v>
      </c>
      <c r="F20" s="4" t="s">
        <v>28</v>
      </c>
      <c r="G20" s="4" t="s">
        <v>28</v>
      </c>
      <c r="H20" s="4" t="s">
        <v>28</v>
      </c>
      <c r="I20" s="4" t="s">
        <v>28</v>
      </c>
    </row>
    <row r="21" customHeight="1" spans="1:9">
      <c r="A21" s="4" t="s">
        <v>1533</v>
      </c>
      <c r="B21" s="4" t="s">
        <v>6366</v>
      </c>
      <c r="C21" s="4" t="s">
        <v>28</v>
      </c>
      <c r="D21" s="4" t="s">
        <v>6360</v>
      </c>
      <c r="E21" s="4" t="s">
        <v>6346</v>
      </c>
      <c r="F21" s="4" t="s">
        <v>28</v>
      </c>
      <c r="G21" s="4" t="s">
        <v>28</v>
      </c>
      <c r="H21" s="4" t="s">
        <v>28</v>
      </c>
      <c r="I21" s="4" t="s">
        <v>28</v>
      </c>
    </row>
    <row r="22" customHeight="1" spans="1:9">
      <c r="A22" s="4" t="s">
        <v>1549</v>
      </c>
      <c r="B22" s="4" t="s">
        <v>6367</v>
      </c>
      <c r="C22" s="4" t="s">
        <v>28</v>
      </c>
      <c r="D22" s="4" t="s">
        <v>6360</v>
      </c>
      <c r="E22" s="4" t="s">
        <v>6361</v>
      </c>
      <c r="F22" s="4" t="s">
        <v>28</v>
      </c>
      <c r="G22" s="4" t="s">
        <v>28</v>
      </c>
      <c r="H22" s="4" t="s">
        <v>28</v>
      </c>
      <c r="I22" s="4" t="s">
        <v>28</v>
      </c>
    </row>
    <row r="23" customHeight="1" spans="1:9">
      <c r="A23" s="4" t="s">
        <v>1556</v>
      </c>
      <c r="B23" s="4" t="s">
        <v>6368</v>
      </c>
      <c r="C23" s="4" t="s">
        <v>28</v>
      </c>
      <c r="D23" s="4" t="s">
        <v>6360</v>
      </c>
      <c r="E23" s="4" t="s">
        <v>6369</v>
      </c>
      <c r="F23" s="4" t="s">
        <v>28</v>
      </c>
      <c r="G23" s="4" t="s">
        <v>28</v>
      </c>
      <c r="H23" s="4" t="s">
        <v>28</v>
      </c>
      <c r="I23" s="4" t="s">
        <v>28</v>
      </c>
    </row>
    <row r="24" customHeight="1" spans="1:9">
      <c r="A24" s="4" t="s">
        <v>1564</v>
      </c>
      <c r="B24" s="4" t="s">
        <v>6370</v>
      </c>
      <c r="C24" s="4" t="s">
        <v>28</v>
      </c>
      <c r="D24" s="4" t="s">
        <v>6371</v>
      </c>
      <c r="E24" s="4" t="s">
        <v>6372</v>
      </c>
      <c r="F24" s="4" t="s">
        <v>28</v>
      </c>
      <c r="G24" s="4" t="s">
        <v>28</v>
      </c>
      <c r="H24" s="4" t="s">
        <v>28</v>
      </c>
      <c r="I24" s="4" t="s">
        <v>28</v>
      </c>
    </row>
    <row r="25" customHeight="1" spans="1:9">
      <c r="A25" s="4" t="s">
        <v>1571</v>
      </c>
      <c r="B25" s="4" t="s">
        <v>6373</v>
      </c>
      <c r="C25" s="4" t="s">
        <v>28</v>
      </c>
      <c r="D25" s="4" t="s">
        <v>6371</v>
      </c>
      <c r="E25" s="4" t="s">
        <v>6372</v>
      </c>
      <c r="F25" s="4" t="s">
        <v>28</v>
      </c>
      <c r="G25" s="4" t="s">
        <v>28</v>
      </c>
      <c r="H25" s="4" t="s">
        <v>28</v>
      </c>
      <c r="I25" s="4" t="s">
        <v>28</v>
      </c>
    </row>
    <row r="26" customHeight="1" spans="1:9">
      <c r="A26" s="4" t="s">
        <v>1575</v>
      </c>
      <c r="B26" s="4" t="s">
        <v>6374</v>
      </c>
      <c r="C26" s="4" t="s">
        <v>28</v>
      </c>
      <c r="D26" s="4" t="s">
        <v>6371</v>
      </c>
      <c r="E26" s="4" t="s">
        <v>6372</v>
      </c>
      <c r="F26" s="4" t="s">
        <v>28</v>
      </c>
      <c r="G26" s="4" t="s">
        <v>28</v>
      </c>
      <c r="H26" s="4" t="s">
        <v>28</v>
      </c>
      <c r="I26" s="4" t="s">
        <v>28</v>
      </c>
    </row>
    <row r="27" customHeight="1" spans="1:9">
      <c r="A27" s="4" t="s">
        <v>1580</v>
      </c>
      <c r="B27" s="4" t="s">
        <v>6375</v>
      </c>
      <c r="C27" s="4" t="s">
        <v>28</v>
      </c>
      <c r="D27" s="4" t="s">
        <v>6371</v>
      </c>
      <c r="E27" s="4" t="s">
        <v>6372</v>
      </c>
      <c r="F27" s="4" t="s">
        <v>28</v>
      </c>
      <c r="G27" s="4" t="s">
        <v>28</v>
      </c>
      <c r="H27" s="4" t="s">
        <v>28</v>
      </c>
      <c r="I27" s="4" t="s">
        <v>28</v>
      </c>
    </row>
    <row r="28" customHeight="1" spans="1:9">
      <c r="A28" s="4" t="s">
        <v>1588</v>
      </c>
      <c r="B28" s="4" t="s">
        <v>6376</v>
      </c>
      <c r="C28" s="4" t="s">
        <v>28</v>
      </c>
      <c r="D28" s="4" t="s">
        <v>6377</v>
      </c>
      <c r="E28" s="4" t="s">
        <v>6378</v>
      </c>
      <c r="F28" s="4" t="s">
        <v>28</v>
      </c>
      <c r="G28" s="4" t="s">
        <v>28</v>
      </c>
      <c r="H28" s="4" t="s">
        <v>28</v>
      </c>
      <c r="I28" s="4" t="s">
        <v>28</v>
      </c>
    </row>
    <row r="29" customHeight="1" spans="1:9">
      <c r="A29" s="4" t="s">
        <v>1590</v>
      </c>
      <c r="B29" s="4" t="s">
        <v>6379</v>
      </c>
      <c r="C29" s="4" t="s">
        <v>28</v>
      </c>
      <c r="D29" s="4" t="s">
        <v>6371</v>
      </c>
      <c r="E29" s="4" t="s">
        <v>6351</v>
      </c>
      <c r="F29" s="4" t="s">
        <v>28</v>
      </c>
      <c r="G29" s="4" t="s">
        <v>28</v>
      </c>
      <c r="H29" s="4" t="s">
        <v>28</v>
      </c>
      <c r="I29" s="4" t="s">
        <v>28</v>
      </c>
    </row>
    <row r="30" customHeight="1" spans="1:9">
      <c r="A30" s="4" t="s">
        <v>1593</v>
      </c>
      <c r="B30" s="4" t="s">
        <v>6380</v>
      </c>
      <c r="C30" s="4" t="s">
        <v>28</v>
      </c>
      <c r="D30" s="4" t="s">
        <v>6377</v>
      </c>
      <c r="E30" s="4" t="s">
        <v>6378</v>
      </c>
      <c r="F30" s="4" t="s">
        <v>28</v>
      </c>
      <c r="G30" s="4" t="s">
        <v>28</v>
      </c>
      <c r="H30" s="4" t="s">
        <v>28</v>
      </c>
      <c r="I30" s="4" t="s">
        <v>28</v>
      </c>
    </row>
    <row r="31" customHeight="1" spans="1:9">
      <c r="A31" s="4" t="s">
        <v>1599</v>
      </c>
      <c r="B31" s="4" t="s">
        <v>6381</v>
      </c>
      <c r="C31" s="4" t="s">
        <v>28</v>
      </c>
      <c r="D31" s="4" t="s">
        <v>6377</v>
      </c>
      <c r="E31" s="4" t="s">
        <v>6342</v>
      </c>
      <c r="F31" s="4" t="s">
        <v>28</v>
      </c>
      <c r="G31" s="4" t="s">
        <v>28</v>
      </c>
      <c r="H31" s="4" t="s">
        <v>28</v>
      </c>
      <c r="I31" s="4" t="s">
        <v>28</v>
      </c>
    </row>
    <row r="32" customHeight="1" spans="1:9">
      <c r="A32" s="4" t="s">
        <v>1601</v>
      </c>
      <c r="B32" s="4" t="s">
        <v>6382</v>
      </c>
      <c r="C32" s="4" t="s">
        <v>28</v>
      </c>
      <c r="D32" s="4" t="s">
        <v>6377</v>
      </c>
      <c r="E32" s="4" t="s">
        <v>6378</v>
      </c>
      <c r="F32" s="4" t="s">
        <v>28</v>
      </c>
      <c r="G32" s="4" t="s">
        <v>28</v>
      </c>
      <c r="H32" s="4" t="s">
        <v>28</v>
      </c>
      <c r="I32" s="4" t="s">
        <v>28</v>
      </c>
    </row>
    <row r="33" customHeight="1" spans="1:9">
      <c r="A33" s="4" t="s">
        <v>1603</v>
      </c>
      <c r="B33" s="4" t="s">
        <v>6383</v>
      </c>
      <c r="C33" s="4" t="s">
        <v>28</v>
      </c>
      <c r="D33" s="4" t="s">
        <v>6377</v>
      </c>
      <c r="E33" s="4" t="s">
        <v>6372</v>
      </c>
      <c r="F33" s="4" t="s">
        <v>28</v>
      </c>
      <c r="G33" s="4" t="s">
        <v>28</v>
      </c>
      <c r="H33" s="4" t="s">
        <v>28</v>
      </c>
      <c r="I33" s="4" t="s">
        <v>28</v>
      </c>
    </row>
    <row r="34" customHeight="1" spans="1:9">
      <c r="A34" s="4" t="s">
        <v>1605</v>
      </c>
      <c r="B34" s="4" t="s">
        <v>6384</v>
      </c>
      <c r="C34" s="4" t="s">
        <v>28</v>
      </c>
      <c r="D34" s="4" t="s">
        <v>6371</v>
      </c>
      <c r="E34" s="4" t="s">
        <v>6372</v>
      </c>
      <c r="F34" s="4" t="s">
        <v>28</v>
      </c>
      <c r="G34" s="4" t="s">
        <v>28</v>
      </c>
      <c r="H34" s="4" t="s">
        <v>28</v>
      </c>
      <c r="I34" s="4" t="s">
        <v>28</v>
      </c>
    </row>
  </sheetData>
  <sheetProtection insertRows="0" deleteColumns="0" deleteRows="0" sort="0" autoFilter="0"/>
  <pageMargins left="0.7" right="0.7" top="0.75" bottom="0.75" header="0.3" footer="0.3"/>
  <pageSetup paperSize="1" orientation="portrait"/>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workbookViewId="0">
      <selection activeCell="A1" sqref="A1"/>
    </sheetView>
  </sheetViews>
  <sheetFormatPr defaultColWidth="9" defaultRowHeight="11.25" customHeight="1"/>
  <sheetData/>
  <sheetProtection insertRows="0" deleteColumns="0" deleteRows="0" sort="0" autoFilter="0"/>
  <pageMargins left="0.7" right="0.7" top="0.75" bottom="0.75" header="0.3" footer="0.3"/>
  <pageSetup paperSize="1"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AT18"/>
  <sheetViews>
    <sheetView showGridLines="0" zoomScale="90" zoomScaleNormal="90" workbookViewId="0">
      <pane xSplit="5" ySplit="11" topLeftCell="F12"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572" hidden="1" customWidth="1"/>
    <col min="2" max="2" width="9.14285714285714" style="42" hidden="1" customWidth="1"/>
    <col min="3" max="3" width="3" style="216" customWidth="1"/>
    <col min="4" max="4" width="5" style="42" customWidth="1"/>
    <col min="5" max="5" width="48" style="42" customWidth="1"/>
    <col min="6" max="6" width="38" style="42" customWidth="1"/>
    <col min="7" max="7" width="1.71428571428571" style="42" hidden="1" customWidth="1"/>
    <col min="8" max="11" width="19.847619047619" style="42" hidden="1" customWidth="1"/>
    <col min="12" max="12" width="9.71428571428571" style="42" hidden="1" customWidth="1"/>
    <col min="13" max="18" width="19.847619047619" style="42" hidden="1" customWidth="1"/>
    <col min="19" max="19" width="1.71428571428571" style="42" hidden="1" customWidth="1"/>
    <col min="20" max="22" width="19.847619047619" style="42" hidden="1" customWidth="1"/>
    <col min="23" max="23" width="1.71428571428571" style="42" hidden="1" customWidth="1"/>
    <col min="24" max="26" width="19.847619047619" style="42" customWidth="1"/>
    <col min="27" max="27" width="1.71428571428571" style="42" hidden="1" customWidth="1"/>
    <col min="28" max="29" width="19.847619047619" style="42" hidden="1" customWidth="1"/>
    <col min="30" max="30" width="1.71428571428571" style="42" hidden="1" customWidth="1"/>
    <col min="31" max="32" width="103.714285714286" style="42" hidden="1" customWidth="1"/>
    <col min="33" max="33" width="103.714285714286" style="42" customWidth="1"/>
    <col min="34" max="34" width="103.714285714286" style="42" hidden="1" customWidth="1"/>
    <col min="35" max="35" width="3" style="205" customWidth="1"/>
    <col min="36" max="38" width="10" style="43" customWidth="1"/>
    <col min="39" max="39" width="13.7142857142857" style="43" hidden="1" customWidth="1"/>
    <col min="40" max="40" width="15" style="43" customWidth="1"/>
    <col min="41" max="41" width="16" style="43" customWidth="1"/>
    <col min="42" max="45" width="10" style="43" customWidth="1"/>
    <col min="46" max="46" width="10.5714285714286" style="42" hidden="1"/>
  </cols>
  <sheetData>
    <row r="1" ht="22.5" hidden="1" customHeight="1" spans="5:46">
      <c r="E1" s="223"/>
      <c r="F1" s="223"/>
      <c r="G1" s="223"/>
      <c r="H1" s="47" t="s">
        <v>357</v>
      </c>
      <c r="I1" s="47"/>
      <c r="J1" s="47"/>
      <c r="K1" s="47"/>
      <c r="L1" s="47"/>
      <c r="M1" s="47"/>
      <c r="N1" s="47"/>
      <c r="O1" s="47"/>
      <c r="P1" s="47"/>
      <c r="Q1" s="47"/>
      <c r="R1" s="47"/>
      <c r="T1" s="47" t="s">
        <v>358</v>
      </c>
      <c r="U1" s="47"/>
      <c r="V1" s="47"/>
      <c r="X1" s="47" t="s">
        <v>359</v>
      </c>
      <c r="Y1" s="47"/>
      <c r="Z1" s="47"/>
      <c r="AB1" s="47" t="s">
        <v>360</v>
      </c>
      <c r="AC1" s="47"/>
      <c r="AT1" s="42" t="s">
        <v>14</v>
      </c>
    </row>
    <row r="2" hidden="1" customHeight="1" spans="46:46">
      <c r="AT2" s="42">
        <v>0</v>
      </c>
    </row>
    <row r="3" s="1206" customFormat="1" ht="5.25" customHeight="1" spans="3:46">
      <c r="C3" s="1212"/>
      <c r="D3" s="1213"/>
      <c r="E3" s="1213"/>
      <c r="F3" s="1213"/>
      <c r="G3" s="1213"/>
      <c r="H3" s="1213" t="s">
        <v>361</v>
      </c>
      <c r="I3" s="1213"/>
      <c r="J3" s="1213"/>
      <c r="K3" s="1213"/>
      <c r="L3" s="1213"/>
      <c r="M3" s="1213"/>
      <c r="N3" s="1213"/>
      <c r="O3" s="1213"/>
      <c r="P3" s="1213"/>
      <c r="Q3" s="1213"/>
      <c r="R3" s="1213"/>
      <c r="S3" s="1213"/>
      <c r="T3" s="1213"/>
      <c r="U3" s="1213"/>
      <c r="V3" s="1213"/>
      <c r="W3" s="1213"/>
      <c r="X3" s="1213"/>
      <c r="Y3" s="1213"/>
      <c r="Z3" s="1213"/>
      <c r="AA3" s="1213"/>
      <c r="AB3" s="1213"/>
      <c r="AC3" s="1213"/>
      <c r="AD3" s="1213"/>
      <c r="AE3" s="1213"/>
      <c r="AF3" s="1213"/>
      <c r="AG3" s="1213"/>
      <c r="AH3" s="1213"/>
      <c r="AJ3" s="43"/>
      <c r="AK3" s="43"/>
      <c r="AL3" s="43"/>
      <c r="AM3" s="43"/>
      <c r="AN3" s="43"/>
      <c r="AO3" s="43"/>
      <c r="AP3" s="43"/>
      <c r="AQ3" s="43"/>
      <c r="AR3" s="43"/>
      <c r="AS3" s="43"/>
      <c r="AT3" s="1206">
        <v>5</v>
      </c>
    </row>
    <row r="4" ht="39.75" customHeight="1" spans="3:46">
      <c r="C4" s="210"/>
      <c r="D4" s="767" t="str">
        <f>ORG_VD_NAME_FORM</f>
        <v>Форма 1. Информация об организации, осуществляющей холодное водоснабжение (общая информация)</v>
      </c>
      <c r="E4" s="768"/>
      <c r="F4" s="768"/>
      <c r="G4" s="768"/>
      <c r="H4" s="768"/>
      <c r="I4" s="768"/>
      <c r="J4" s="768"/>
      <c r="K4" s="768"/>
      <c r="L4" s="768"/>
      <c r="M4" s="768"/>
      <c r="N4" s="768"/>
      <c r="O4" s="768"/>
      <c r="P4" s="768"/>
      <c r="Q4" s="768"/>
      <c r="R4" s="769"/>
      <c r="S4" s="1216"/>
      <c r="T4" s="1217"/>
      <c r="U4" s="1217"/>
      <c r="V4" s="1217"/>
      <c r="W4" s="1217"/>
      <c r="X4" s="1217"/>
      <c r="Y4" s="1217"/>
      <c r="Z4" s="1217"/>
      <c r="AA4" s="1217"/>
      <c r="AB4" s="1217"/>
      <c r="AC4" s="1217"/>
      <c r="AD4" s="1217"/>
      <c r="AE4" s="1197"/>
      <c r="AF4" s="1197"/>
      <c r="AG4" s="1197"/>
      <c r="AH4" s="1197"/>
      <c r="AI4" s="578"/>
      <c r="AT4" s="42">
        <v>38</v>
      </c>
    </row>
    <row r="5" s="42" customFormat="1" ht="18" customHeight="1" spans="1:46">
      <c r="A5" s="572"/>
      <c r="C5" s="210"/>
      <c r="D5" s="770" t="str">
        <f>IF(org=0,"Не определено",org)</f>
        <v>АО "ОЭЗ ППТ "Алабуга"</v>
      </c>
      <c r="E5" s="621"/>
      <c r="F5" s="621"/>
      <c r="G5" s="621"/>
      <c r="H5" s="621"/>
      <c r="I5" s="621"/>
      <c r="J5" s="621"/>
      <c r="K5" s="621"/>
      <c r="L5" s="621"/>
      <c r="M5" s="621"/>
      <c r="N5" s="621"/>
      <c r="O5" s="621"/>
      <c r="P5" s="621"/>
      <c r="Q5" s="621"/>
      <c r="R5" s="771"/>
      <c r="S5" s="1216"/>
      <c r="T5" s="1217"/>
      <c r="U5" s="1217"/>
      <c r="V5" s="1217"/>
      <c r="W5" s="1217"/>
      <c r="X5" s="1217"/>
      <c r="Y5" s="1217"/>
      <c r="Z5" s="1217"/>
      <c r="AA5" s="1217"/>
      <c r="AB5" s="1217"/>
      <c r="AC5" s="1217"/>
      <c r="AD5" s="1217"/>
      <c r="AE5" s="1197"/>
      <c r="AF5" s="1197"/>
      <c r="AG5" s="1197"/>
      <c r="AH5" s="1197"/>
      <c r="AI5" s="578"/>
      <c r="AJ5" s="43"/>
      <c r="AK5" s="43"/>
      <c r="AL5" s="43"/>
      <c r="AM5" s="43"/>
      <c r="AN5" s="43"/>
      <c r="AO5" s="43"/>
      <c r="AP5" s="43"/>
      <c r="AQ5" s="43"/>
      <c r="AR5" s="43"/>
      <c r="AS5" s="43"/>
      <c r="AT5" s="42">
        <v>17</v>
      </c>
    </row>
    <row r="6" s="207" customFormat="1" ht="11.55" customHeight="1" spans="1:46">
      <c r="A6" s="1182"/>
      <c r="C6" s="1183"/>
      <c r="D6" s="1199"/>
      <c r="E6" s="1199"/>
      <c r="F6" s="1199"/>
      <c r="G6" s="1199"/>
      <c r="H6" s="1199"/>
      <c r="I6" s="1199"/>
      <c r="J6" s="1199"/>
      <c r="K6" s="1199"/>
      <c r="L6" s="1199"/>
      <c r="M6" s="1199"/>
      <c r="N6" s="1199"/>
      <c r="O6" s="1199"/>
      <c r="P6" s="1199"/>
      <c r="Q6" s="1199"/>
      <c r="R6" s="574"/>
      <c r="S6" s="574"/>
      <c r="T6" s="1199"/>
      <c r="U6" s="1199"/>
      <c r="V6" s="1218"/>
      <c r="W6" s="1218"/>
      <c r="X6" s="1199"/>
      <c r="Y6" s="1199"/>
      <c r="Z6" s="1218"/>
      <c r="AA6" s="1218"/>
      <c r="AB6" s="1199"/>
      <c r="AC6" s="1218"/>
      <c r="AD6" s="1218"/>
      <c r="AE6" s="1199"/>
      <c r="AF6" s="1199"/>
      <c r="AG6" s="1199"/>
      <c r="AH6" s="1199"/>
      <c r="AJ6" s="43"/>
      <c r="AK6" s="43"/>
      <c r="AL6" s="43"/>
      <c r="AM6" s="43"/>
      <c r="AN6" s="43"/>
      <c r="AO6" s="43"/>
      <c r="AP6" s="43"/>
      <c r="AQ6" s="43"/>
      <c r="AR6" s="43"/>
      <c r="AS6" s="43"/>
      <c r="AT6" s="207">
        <v>11</v>
      </c>
    </row>
    <row r="7" ht="14.7" customHeight="1" spans="3:46">
      <c r="C7" s="210"/>
      <c r="D7" s="131" t="s">
        <v>305</v>
      </c>
      <c r="E7" s="1142"/>
      <c r="F7" s="1142"/>
      <c r="G7" s="1142"/>
      <c r="H7" s="1142"/>
      <c r="I7" s="1142"/>
      <c r="J7" s="1142"/>
      <c r="K7" s="1142"/>
      <c r="L7" s="1142"/>
      <c r="M7" s="1142"/>
      <c r="N7" s="1142"/>
      <c r="O7" s="1142"/>
      <c r="P7" s="1142"/>
      <c r="Q7" s="1142"/>
      <c r="R7" s="1142"/>
      <c r="S7" s="1142"/>
      <c r="T7" s="1142"/>
      <c r="U7" s="1142"/>
      <c r="V7" s="1142"/>
      <c r="W7" s="1142"/>
      <c r="X7" s="1142"/>
      <c r="Y7" s="1142"/>
      <c r="Z7" s="1142"/>
      <c r="AA7" s="1142"/>
      <c r="AB7" s="1142"/>
      <c r="AC7" s="1142"/>
      <c r="AD7" s="132"/>
      <c r="AE7" s="130" t="s">
        <v>306</v>
      </c>
      <c r="AF7" s="130" t="s">
        <v>306</v>
      </c>
      <c r="AG7" s="130" t="s">
        <v>306</v>
      </c>
      <c r="AH7" s="130" t="s">
        <v>306</v>
      </c>
      <c r="AT7" s="42">
        <v>14</v>
      </c>
    </row>
    <row r="8" ht="27.3" customHeight="1" spans="3:46">
      <c r="C8" s="210"/>
      <c r="D8" s="63" t="s">
        <v>89</v>
      </c>
      <c r="E8" s="130" t="str">
        <f>"Наименование "&amp;IF(TEMPLATE_SPHERE&lt;&gt;"HEAT","централизованной ","")&amp;"системы "&amp;TEMPLATE_SPHERE_RUS</f>
        <v>Наименование централизованной системы холодного водоснабжения</v>
      </c>
      <c r="F8" s="130" t="str">
        <f>IF(TEMPLATE_SPHERE&lt;&gt;"HEAT","Регулируемый вид деятельности","Вид регулируемой деятельности")</f>
        <v>Регулируемый вид деятельности</v>
      </c>
      <c r="G8" s="466"/>
      <c r="H8" s="466" t="s">
        <v>362</v>
      </c>
      <c r="I8" s="1160" t="s">
        <v>363</v>
      </c>
      <c r="J8" s="130" t="s">
        <v>364</v>
      </c>
      <c r="K8" s="130"/>
      <c r="L8" s="130"/>
      <c r="M8" s="131"/>
      <c r="N8" s="130" t="s">
        <v>365</v>
      </c>
      <c r="O8" s="130"/>
      <c r="P8" s="130" t="s">
        <v>366</v>
      </c>
      <c r="Q8" s="130"/>
      <c r="R8" s="1161" t="s">
        <v>367</v>
      </c>
      <c r="S8" s="1161"/>
      <c r="T8" s="466" t="s">
        <v>368</v>
      </c>
      <c r="U8" s="466" t="s">
        <v>369</v>
      </c>
      <c r="V8" s="466" t="s">
        <v>370</v>
      </c>
      <c r="W8" s="466"/>
      <c r="X8" s="466" t="s">
        <v>371</v>
      </c>
      <c r="Y8" s="466" t="s">
        <v>372</v>
      </c>
      <c r="Z8" s="466" t="s">
        <v>373</v>
      </c>
      <c r="AA8" s="466"/>
      <c r="AB8" s="466" t="s">
        <v>374</v>
      </c>
      <c r="AC8" s="466" t="s">
        <v>367</v>
      </c>
      <c r="AD8" s="466"/>
      <c r="AE8" s="130"/>
      <c r="AF8" s="130"/>
      <c r="AG8" s="130"/>
      <c r="AH8" s="130"/>
      <c r="AT8" s="42">
        <v>26</v>
      </c>
    </row>
    <row r="9" ht="46.2" customHeight="1" spans="3:46">
      <c r="C9" s="210"/>
      <c r="D9" s="63"/>
      <c r="E9" s="130"/>
      <c r="F9" s="130"/>
      <c r="G9" s="293"/>
      <c r="H9" s="293"/>
      <c r="I9" s="1162"/>
      <c r="J9" s="130" t="s">
        <v>375</v>
      </c>
      <c r="K9" s="130" t="s">
        <v>376</v>
      </c>
      <c r="L9" s="130" t="s">
        <v>377</v>
      </c>
      <c r="M9" s="131" t="s">
        <v>378</v>
      </c>
      <c r="N9" s="130" t="s">
        <v>379</v>
      </c>
      <c r="O9" s="130" t="s">
        <v>378</v>
      </c>
      <c r="P9" s="130" t="s">
        <v>380</v>
      </c>
      <c r="Q9" s="130" t="s">
        <v>378</v>
      </c>
      <c r="R9" s="1163"/>
      <c r="S9" s="1163"/>
      <c r="T9" s="293"/>
      <c r="U9" s="293"/>
      <c r="V9" s="293"/>
      <c r="W9" s="293"/>
      <c r="X9" s="293"/>
      <c r="Y9" s="293"/>
      <c r="Z9" s="293"/>
      <c r="AA9" s="293"/>
      <c r="AB9" s="293"/>
      <c r="AC9" s="293"/>
      <c r="AD9" s="293"/>
      <c r="AE9" s="130"/>
      <c r="AF9" s="130"/>
      <c r="AG9" s="130"/>
      <c r="AH9" s="130"/>
      <c r="AT9" s="42">
        <v>44</v>
      </c>
    </row>
    <row r="10" ht="12" hidden="1" customHeight="1" spans="3:46">
      <c r="C10" s="1186"/>
      <c r="D10" s="564"/>
      <c r="E10" s="564"/>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42"/>
      <c r="AP10" s="150"/>
      <c r="AQ10" s="150"/>
      <c r="AT10" s="42">
        <v>0</v>
      </c>
    </row>
    <row r="11" s="36" customFormat="1" ht="11.25" hidden="1" customHeight="1" spans="3:46">
      <c r="C11" s="1128"/>
      <c r="D11" s="1214" t="s">
        <v>381</v>
      </c>
      <c r="E11" s="1214"/>
      <c r="F11" s="1214"/>
      <c r="G11" s="1214"/>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6"/>
      <c r="AF11" s="6"/>
      <c r="AG11" s="6"/>
      <c r="AH11" s="6"/>
      <c r="AJ11" s="43"/>
      <c r="AK11" s="43"/>
      <c r="AL11" s="43"/>
      <c r="AM11" s="43"/>
      <c r="AN11" s="43"/>
      <c r="AO11" s="43"/>
      <c r="AP11" s="43"/>
      <c r="AQ11" s="43"/>
      <c r="AR11" s="43"/>
      <c r="AS11" s="43"/>
      <c r="AT11" s="36">
        <v>0</v>
      </c>
    </row>
    <row r="12" ht="14.7" customHeight="1" spans="1:46">
      <c r="A12" s="42"/>
      <c r="C12" s="210"/>
      <c r="D12" s="259" t="s">
        <v>111</v>
      </c>
      <c r="E12" s="260" t="s">
        <v>28</v>
      </c>
      <c r="F12" s="98"/>
      <c r="G12" s="261"/>
      <c r="H12" s="262"/>
      <c r="I12" s="262"/>
      <c r="J12" s="283"/>
      <c r="K12" s="284"/>
      <c r="L12" s="285"/>
      <c r="M12" s="284"/>
      <c r="N12" s="283"/>
      <c r="O12" s="284"/>
      <c r="P12" s="283"/>
      <c r="Q12" s="284"/>
      <c r="R12" s="283"/>
      <c r="S12" s="292"/>
      <c r="T12" s="262"/>
      <c r="U12" s="283"/>
      <c r="V12" s="283"/>
      <c r="W12" s="293"/>
      <c r="X12" s="262"/>
      <c r="Y12" s="283"/>
      <c r="Z12" s="283"/>
      <c r="AA12" s="293"/>
      <c r="AB12" s="262"/>
      <c r="AC12" s="283"/>
      <c r="AD12" s="293"/>
      <c r="AE12" s="1200" t="s">
        <v>382</v>
      </c>
      <c r="AF12" s="1200" t="s">
        <v>383</v>
      </c>
      <c r="AG12" s="1200" t="s">
        <v>384</v>
      </c>
      <c r="AH12" s="1200" t="s">
        <v>385</v>
      </c>
      <c r="AI12" s="42"/>
      <c r="AP12" s="150" t="s">
        <v>386</v>
      </c>
      <c r="AQ12" s="150" t="s">
        <v>386</v>
      </c>
      <c r="AT12" s="42">
        <v>14</v>
      </c>
    </row>
    <row r="13" ht="18" customHeight="1" spans="1:46">
      <c r="A13" s="42"/>
      <c r="C13" s="210"/>
      <c r="D13" s="568"/>
      <c r="E13" s="1211" t="str">
        <f>IF(TITLE_DIFFERENTIATION_TYPE="нет","","Добавить систему")</f>
        <v/>
      </c>
      <c r="F13" s="1211" t="str">
        <f>IF(TITLE_DIFFERENTIATION_TYPE="нет","Добавить вид деятельности","")</f>
        <v>Добавить вид деятельности</v>
      </c>
      <c r="G13" s="1094"/>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9"/>
      <c r="AE13" s="1205"/>
      <c r="AF13" s="1205"/>
      <c r="AG13" s="1205"/>
      <c r="AH13" s="1205"/>
      <c r="AI13" s="42"/>
      <c r="AT13" s="42">
        <v>17</v>
      </c>
    </row>
    <row r="14" ht="14.7" customHeight="1" spans="35:46">
      <c r="AI14" s="42"/>
      <c r="AT14" s="42">
        <v>14</v>
      </c>
    </row>
    <row r="15" ht="14.7" customHeight="1" spans="46:46">
      <c r="AT15" s="42">
        <v>14</v>
      </c>
    </row>
    <row r="16" ht="14.7" customHeight="1" spans="46:46">
      <c r="AT16" s="42">
        <v>14</v>
      </c>
    </row>
    <row r="17" ht="14.7" customHeight="1" spans="46:46">
      <c r="AT17" s="42">
        <v>14</v>
      </c>
    </row>
    <row r="18" ht="22.5" hidden="1" customHeight="1" spans="1:46">
      <c r="A18" s="572" t="s">
        <v>83</v>
      </c>
      <c r="B18" s="42">
        <v>0</v>
      </c>
      <c r="C18" s="216">
        <v>3</v>
      </c>
      <c r="D18" s="42">
        <v>5</v>
      </c>
      <c r="E18" s="42">
        <v>48</v>
      </c>
      <c r="F18" s="42">
        <v>38</v>
      </c>
      <c r="G18" s="42">
        <v>0</v>
      </c>
      <c r="H18" s="42">
        <v>0</v>
      </c>
      <c r="I18" s="42">
        <v>0</v>
      </c>
      <c r="J18" s="42">
        <v>0</v>
      </c>
      <c r="K18" s="42">
        <v>0</v>
      </c>
      <c r="L18" s="42">
        <v>0</v>
      </c>
      <c r="M18" s="42">
        <v>0</v>
      </c>
      <c r="N18" s="42">
        <v>0</v>
      </c>
      <c r="O18" s="42">
        <v>0</v>
      </c>
      <c r="P18" s="42">
        <v>0</v>
      </c>
      <c r="Q18" s="42">
        <v>0</v>
      </c>
      <c r="R18" s="42">
        <v>0</v>
      </c>
      <c r="S18" s="42">
        <v>0</v>
      </c>
      <c r="T18" s="42">
        <v>0</v>
      </c>
      <c r="U18" s="42">
        <v>0</v>
      </c>
      <c r="V18" s="42">
        <v>0</v>
      </c>
      <c r="W18" s="42">
        <v>0</v>
      </c>
      <c r="X18" s="42">
        <v>0</v>
      </c>
      <c r="Y18" s="42">
        <v>0</v>
      </c>
      <c r="Z18" s="42">
        <v>0</v>
      </c>
      <c r="AA18" s="42">
        <v>0</v>
      </c>
      <c r="AB18" s="42">
        <v>0</v>
      </c>
      <c r="AC18" s="42">
        <v>0</v>
      </c>
      <c r="AD18" s="42">
        <v>0</v>
      </c>
      <c r="AE18" s="42">
        <v>0</v>
      </c>
      <c r="AF18" s="42">
        <v>0</v>
      </c>
      <c r="AG18" s="42">
        <v>0</v>
      </c>
      <c r="AH18" s="42">
        <v>0</v>
      </c>
      <c r="AI18" s="205">
        <v>3</v>
      </c>
      <c r="AJ18" s="43">
        <v>10</v>
      </c>
      <c r="AK18" s="43">
        <v>10</v>
      </c>
      <c r="AL18" s="43">
        <v>10</v>
      </c>
      <c r="AM18" s="43">
        <v>0</v>
      </c>
      <c r="AN18" s="43">
        <v>15</v>
      </c>
      <c r="AO18" s="43">
        <v>16</v>
      </c>
      <c r="AP18" s="43">
        <v>10</v>
      </c>
      <c r="AQ18" s="43">
        <v>10</v>
      </c>
      <c r="AR18" s="43">
        <v>10</v>
      </c>
      <c r="AS18" s="43">
        <v>10</v>
      </c>
      <c r="AT18" s="42">
        <v>23</v>
      </c>
    </row>
  </sheetData>
  <sheetProtection formatColumns="0" formatRows="0" insertRows="0" deleteColumns="0" deleteRows="0" sort="0" autoFilter="0"/>
  <mergeCells count="32">
    <mergeCell ref="H1:R1"/>
    <mergeCell ref="T1:V1"/>
    <mergeCell ref="X1:Z1"/>
    <mergeCell ref="AB1:AC1"/>
    <mergeCell ref="D4:R4"/>
    <mergeCell ref="D5:R5"/>
    <mergeCell ref="D7:AD7"/>
    <mergeCell ref="J8:M8"/>
    <mergeCell ref="N8:O8"/>
    <mergeCell ref="P8:Q8"/>
    <mergeCell ref="D8:D9"/>
    <mergeCell ref="E8:E9"/>
    <mergeCell ref="F8:F9"/>
    <mergeCell ref="H8:H9"/>
    <mergeCell ref="I8:I9"/>
    <mergeCell ref="R8:R9"/>
    <mergeCell ref="T8:T9"/>
    <mergeCell ref="U8:U9"/>
    <mergeCell ref="V8:V9"/>
    <mergeCell ref="X8:X9"/>
    <mergeCell ref="Y8:Y9"/>
    <mergeCell ref="Z8:Z9"/>
    <mergeCell ref="AB8:AB9"/>
    <mergeCell ref="AC8:AC9"/>
    <mergeCell ref="AE7:AE9"/>
    <mergeCell ref="AE12:AE13"/>
    <mergeCell ref="AF7:AF9"/>
    <mergeCell ref="AF12:AF13"/>
    <mergeCell ref="AG7:AG9"/>
    <mergeCell ref="AG12:AG13"/>
    <mergeCell ref="AH7:AH9"/>
    <mergeCell ref="AH12:AH13"/>
  </mergeCells>
  <dataValidations count="6">
    <dataValidation allowBlank="1" showErrorMessage="1" errorTitle="Ошибка" error="Допускается ввод только неотрицательных чисел!" sqref="E11:G11"/>
    <dataValidation type="decimal" operator="between" allowBlank="1" showErrorMessage="1" errorTitle="Ошибка" error="Допускается ввод только неотрицательных чисел!" sqref="H11:AD11 H12:I12 K12 M12 O12 Q12 T12 X12 AB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operator="between" allowBlank="1" showErrorMessage="1" errorTitle="Ошибка" error="Допускается ввод только неотрицательных целых чисел!" sqref="J12 N12 P12 R12:S12 U12:V12 Y12:Z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2"/>
  <sheetViews>
    <sheetView showGridLines="0" workbookViewId="0">
      <selection activeCell="A1" sqref="A1"/>
    </sheetView>
  </sheetViews>
  <sheetFormatPr defaultColWidth="9.14285714285714" defaultRowHeight="11.25" customHeight="1" outlineLevelRow="1" outlineLevelCol="1"/>
  <cols>
    <col min="1" max="2" width="9.14285714285714" style="16"/>
  </cols>
  <sheetData>
    <row r="1" customHeight="1" spans="1:2">
      <c r="A1" s="16" t="s">
        <v>132</v>
      </c>
      <c r="B1" s="16" t="s">
        <v>6385</v>
      </c>
    </row>
    <row r="2" customHeight="1" spans="1:2">
      <c r="A2" s="16" t="s">
        <v>99</v>
      </c>
      <c r="B2" s="16" t="s">
        <v>6386</v>
      </c>
    </row>
  </sheetData>
  <sheetProtection insertRows="0" deleteColumns="0" deleteRows="0" sort="0" autoFilter="0"/>
  <pageMargins left="0.7" right="0.7" top="0.75" bottom="0.75" header="0.3" footer="0.3"/>
  <pageSetup paperSize="1" orientation="portrait"/>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11"/>
  <sheetViews>
    <sheetView showGridLines="0" workbookViewId="0">
      <selection activeCell="A1" sqref="A1"/>
    </sheetView>
  </sheetViews>
  <sheetFormatPr defaultColWidth="9.14285714285714" defaultRowHeight="11.25" customHeight="1" outlineLevelCol="1"/>
  <cols>
    <col min="1" max="1" width="9.14285714285714" style="4"/>
    <col min="2" max="2" width="65.2857142857143" style="4" customWidth="1"/>
  </cols>
  <sheetData>
    <row r="1" customHeight="1" spans="1:2">
      <c r="A1" s="4" t="s">
        <v>6387</v>
      </c>
      <c r="B1" s="4" t="s">
        <v>6388</v>
      </c>
    </row>
    <row r="2" customHeight="1" spans="1:2">
      <c r="A2" s="4">
        <v>4213775</v>
      </c>
      <c r="B2" s="4" t="s">
        <v>1241</v>
      </c>
    </row>
    <row r="3" customHeight="1" spans="1:2">
      <c r="A3" s="4">
        <v>4213784</v>
      </c>
      <c r="B3" s="4" t="s">
        <v>1275</v>
      </c>
    </row>
    <row r="4" customHeight="1" spans="1:2">
      <c r="A4" s="4">
        <v>4213781</v>
      </c>
      <c r="B4" s="4" t="s">
        <v>1268</v>
      </c>
    </row>
    <row r="5" customHeight="1" spans="1:2">
      <c r="A5" s="4">
        <v>4213776</v>
      </c>
      <c r="B5" s="4" t="s">
        <v>168</v>
      </c>
    </row>
    <row r="6" customHeight="1" spans="1:2">
      <c r="A6" s="4">
        <v>4213777</v>
      </c>
      <c r="B6" s="4" t="s">
        <v>174</v>
      </c>
    </row>
    <row r="7" customHeight="1" spans="1:2">
      <c r="A7" s="4">
        <v>4213778</v>
      </c>
      <c r="B7" s="4" t="s">
        <v>180</v>
      </c>
    </row>
    <row r="8" customHeight="1" spans="1:2">
      <c r="A8" s="4">
        <v>4213780</v>
      </c>
      <c r="B8" s="4" t="s">
        <v>186</v>
      </c>
    </row>
    <row r="9" customHeight="1" spans="1:2">
      <c r="A9" s="4">
        <v>4213779</v>
      </c>
      <c r="B9" s="4" t="s">
        <v>1405</v>
      </c>
    </row>
    <row r="10" customHeight="1" spans="1:2">
      <c r="A10" s="4">
        <v>4213783</v>
      </c>
      <c r="B10" s="4" t="s">
        <v>1420</v>
      </c>
    </row>
    <row r="11" customHeight="1" spans="1:2">
      <c r="A11" s="4">
        <v>4213782</v>
      </c>
      <c r="B11" s="4" t="s">
        <v>192</v>
      </c>
    </row>
  </sheetData>
  <sheetProtection insertRows="0" deleteColumns="0" deleteRows="0" sort="0" autoFilter="0"/>
  <pageMargins left="0.7" right="0.7" top="0.75" bottom="0.75" header="0.3" footer="0.3"/>
  <pageSetup paperSize="1" orientation="portrait"/>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8"/>
  <sheetViews>
    <sheetView showGridLines="0" workbookViewId="0">
      <selection activeCell="A1" sqref="A1"/>
    </sheetView>
  </sheetViews>
  <sheetFormatPr defaultColWidth="9.14285714285714" defaultRowHeight="11.25" customHeight="1" outlineLevelRow="7" outlineLevelCol="1"/>
  <cols>
    <col min="1" max="1" width="9.14285714285714" style="4"/>
    <col min="2" max="2" width="65.2857142857143" style="4" customWidth="1"/>
  </cols>
  <sheetData>
    <row r="1" customHeight="1" spans="1:2">
      <c r="A1" s="4" t="s">
        <v>6387</v>
      </c>
      <c r="B1" s="4" t="s">
        <v>6389</v>
      </c>
    </row>
    <row r="2" customHeight="1" spans="1:2">
      <c r="A2" s="4" t="s">
        <v>6390</v>
      </c>
      <c r="B2" s="4" t="s">
        <v>1519</v>
      </c>
    </row>
    <row r="3" customHeight="1" spans="1:2">
      <c r="A3" s="4" t="s">
        <v>6391</v>
      </c>
      <c r="B3" s="4" t="s">
        <v>1529</v>
      </c>
    </row>
    <row r="4" customHeight="1" spans="1:2">
      <c r="A4" s="4" t="s">
        <v>6392</v>
      </c>
      <c r="B4" s="4" t="s">
        <v>1538</v>
      </c>
    </row>
    <row r="5" customHeight="1" spans="1:2">
      <c r="A5" s="4" t="s">
        <v>6393</v>
      </c>
      <c r="B5" s="4" t="s">
        <v>1547</v>
      </c>
    </row>
    <row r="6" customHeight="1" spans="1:2">
      <c r="A6" s="4" t="s">
        <v>6394</v>
      </c>
      <c r="B6" s="4" t="s">
        <v>1553</v>
      </c>
    </row>
    <row r="7" customHeight="1" spans="1:2">
      <c r="A7" s="4" t="s">
        <v>6395</v>
      </c>
      <c r="B7" s="4" t="s">
        <v>1561</v>
      </c>
    </row>
    <row r="8" customHeight="1" spans="1:2">
      <c r="A8" s="4" t="s">
        <v>6396</v>
      </c>
      <c r="B8" s="4" t="s">
        <v>1568</v>
      </c>
    </row>
  </sheetData>
  <sheetProtection insertRows="0" deleteColumns="0" deleteRows="0" sort="0" autoFilter="0"/>
  <pageMargins left="0.7" right="0.7" top="0.75" bottom="0.75" header="0.3" footer="0.3"/>
  <pageSetup paperSize="1" orientation="portrait"/>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G957"/>
  <sheetViews>
    <sheetView showGridLines="0" workbookViewId="0">
      <selection activeCell="A1" sqref="A1"/>
    </sheetView>
  </sheetViews>
  <sheetFormatPr defaultColWidth="9" defaultRowHeight="11.25" customHeight="1" outlineLevelCol="6"/>
  <sheetData>
    <row r="1" customHeight="1" spans="1:7">
      <c r="A1" t="s">
        <v>3550</v>
      </c>
      <c r="B1" t="s">
        <v>3551</v>
      </c>
      <c r="C1" t="s">
        <v>3552</v>
      </c>
      <c r="D1" t="s">
        <v>3553</v>
      </c>
      <c r="E1" t="s">
        <v>3554</v>
      </c>
      <c r="F1" t="s">
        <v>3555</v>
      </c>
      <c r="G1" t="s">
        <v>3556</v>
      </c>
    </row>
    <row r="2" customHeight="1" spans="1:7">
      <c r="A2" t="s">
        <v>16</v>
      </c>
      <c r="B2" t="s">
        <v>3557</v>
      </c>
      <c r="C2" t="s">
        <v>3558</v>
      </c>
      <c r="D2" t="s">
        <v>3557</v>
      </c>
      <c r="E2" t="s">
        <v>3558</v>
      </c>
      <c r="F2" t="s">
        <v>3559</v>
      </c>
      <c r="G2" t="s">
        <v>111</v>
      </c>
    </row>
    <row r="3" customHeight="1" spans="1:7">
      <c r="A3" t="s">
        <v>16</v>
      </c>
      <c r="B3" t="s">
        <v>3557</v>
      </c>
      <c r="C3" t="s">
        <v>3558</v>
      </c>
      <c r="D3" t="s">
        <v>3560</v>
      </c>
      <c r="E3" t="s">
        <v>3561</v>
      </c>
      <c r="F3" t="s">
        <v>3562</v>
      </c>
      <c r="G3" t="s">
        <v>112</v>
      </c>
    </row>
    <row r="4" customHeight="1" spans="1:7">
      <c r="A4" t="s">
        <v>16</v>
      </c>
      <c r="B4" t="s">
        <v>3557</v>
      </c>
      <c r="C4" t="s">
        <v>3558</v>
      </c>
      <c r="D4" t="s">
        <v>3563</v>
      </c>
      <c r="E4" t="s">
        <v>3564</v>
      </c>
      <c r="F4" t="s">
        <v>3562</v>
      </c>
      <c r="G4" t="s">
        <v>91</v>
      </c>
    </row>
    <row r="5" customHeight="1" spans="1:7">
      <c r="A5" t="s">
        <v>16</v>
      </c>
      <c r="B5" t="s">
        <v>3557</v>
      </c>
      <c r="C5" t="s">
        <v>3558</v>
      </c>
      <c r="D5" t="s">
        <v>3565</v>
      </c>
      <c r="E5" t="s">
        <v>3566</v>
      </c>
      <c r="F5" t="s">
        <v>3567</v>
      </c>
      <c r="G5" t="s">
        <v>92</v>
      </c>
    </row>
    <row r="6" customHeight="1" spans="1:7">
      <c r="A6" t="s">
        <v>16</v>
      </c>
      <c r="B6" t="s">
        <v>3557</v>
      </c>
      <c r="C6" t="s">
        <v>3558</v>
      </c>
      <c r="D6" t="s">
        <v>3568</v>
      </c>
      <c r="E6" t="s">
        <v>3569</v>
      </c>
      <c r="F6" t="s">
        <v>3562</v>
      </c>
      <c r="G6" t="s">
        <v>113</v>
      </c>
    </row>
    <row r="7" customHeight="1" spans="1:7">
      <c r="A7" t="s">
        <v>16</v>
      </c>
      <c r="B7" t="s">
        <v>3557</v>
      </c>
      <c r="C7" t="s">
        <v>3558</v>
      </c>
      <c r="D7" t="s">
        <v>3570</v>
      </c>
      <c r="E7" t="s">
        <v>3571</v>
      </c>
      <c r="F7" t="s">
        <v>3562</v>
      </c>
      <c r="G7" t="s">
        <v>93</v>
      </c>
    </row>
    <row r="8" customHeight="1" spans="1:7">
      <c r="A8" t="s">
        <v>16</v>
      </c>
      <c r="B8" t="s">
        <v>3557</v>
      </c>
      <c r="C8" t="s">
        <v>3558</v>
      </c>
      <c r="D8" t="s">
        <v>3572</v>
      </c>
      <c r="E8" t="s">
        <v>3573</v>
      </c>
      <c r="F8" t="s">
        <v>3562</v>
      </c>
      <c r="G8" t="s">
        <v>94</v>
      </c>
    </row>
    <row r="9" customHeight="1" spans="1:7">
      <c r="A9" t="s">
        <v>16</v>
      </c>
      <c r="B9" t="s">
        <v>3557</v>
      </c>
      <c r="C9" t="s">
        <v>3558</v>
      </c>
      <c r="D9" t="s">
        <v>3574</v>
      </c>
      <c r="E9" t="s">
        <v>3575</v>
      </c>
      <c r="F9" t="s">
        <v>3562</v>
      </c>
      <c r="G9" t="s">
        <v>114</v>
      </c>
    </row>
    <row r="10" customHeight="1" spans="1:7">
      <c r="A10" t="s">
        <v>16</v>
      </c>
      <c r="B10" t="s">
        <v>3557</v>
      </c>
      <c r="C10" t="s">
        <v>3558</v>
      </c>
      <c r="D10" t="s">
        <v>3576</v>
      </c>
      <c r="E10" t="s">
        <v>3577</v>
      </c>
      <c r="F10" t="s">
        <v>3562</v>
      </c>
      <c r="G10" t="s">
        <v>150</v>
      </c>
    </row>
    <row r="11" customHeight="1" spans="1:7">
      <c r="A11" t="s">
        <v>16</v>
      </c>
      <c r="B11" t="s">
        <v>3557</v>
      </c>
      <c r="C11" t="s">
        <v>3558</v>
      </c>
      <c r="D11" t="s">
        <v>3578</v>
      </c>
      <c r="E11" t="s">
        <v>3579</v>
      </c>
      <c r="F11" t="s">
        <v>3562</v>
      </c>
      <c r="G11" t="s">
        <v>151</v>
      </c>
    </row>
    <row r="12" customHeight="1" spans="1:7">
      <c r="A12" t="s">
        <v>16</v>
      </c>
      <c r="B12" t="s">
        <v>3557</v>
      </c>
      <c r="C12" t="s">
        <v>3558</v>
      </c>
      <c r="D12" t="s">
        <v>3580</v>
      </c>
      <c r="E12" t="s">
        <v>3581</v>
      </c>
      <c r="F12" t="s">
        <v>3562</v>
      </c>
      <c r="G12" t="s">
        <v>152</v>
      </c>
    </row>
    <row r="13" customHeight="1" spans="1:7">
      <c r="A13" t="s">
        <v>16</v>
      </c>
      <c r="B13" t="s">
        <v>3557</v>
      </c>
      <c r="C13" t="s">
        <v>3558</v>
      </c>
      <c r="D13" t="s">
        <v>3582</v>
      </c>
      <c r="E13" t="s">
        <v>3583</v>
      </c>
      <c r="F13" t="s">
        <v>3562</v>
      </c>
      <c r="G13" t="s">
        <v>153</v>
      </c>
    </row>
    <row r="14" customHeight="1" spans="1:7">
      <c r="A14" t="s">
        <v>16</v>
      </c>
      <c r="B14" t="s">
        <v>3557</v>
      </c>
      <c r="C14" t="s">
        <v>3558</v>
      </c>
      <c r="D14" t="s">
        <v>3584</v>
      </c>
      <c r="E14" t="s">
        <v>3585</v>
      </c>
      <c r="F14" t="s">
        <v>3562</v>
      </c>
      <c r="G14" t="s">
        <v>154</v>
      </c>
    </row>
    <row r="15" customHeight="1" spans="1:7">
      <c r="A15" t="s">
        <v>16</v>
      </c>
      <c r="B15" t="s">
        <v>3557</v>
      </c>
      <c r="C15" t="s">
        <v>3558</v>
      </c>
      <c r="D15" t="s">
        <v>3586</v>
      </c>
      <c r="E15" t="s">
        <v>3587</v>
      </c>
      <c r="F15" t="s">
        <v>3562</v>
      </c>
      <c r="G15" t="s">
        <v>155</v>
      </c>
    </row>
    <row r="16" customHeight="1" spans="1:7">
      <c r="A16" t="s">
        <v>16</v>
      </c>
      <c r="B16" t="s">
        <v>3557</v>
      </c>
      <c r="C16" t="s">
        <v>3558</v>
      </c>
      <c r="D16" t="s">
        <v>3588</v>
      </c>
      <c r="E16" t="s">
        <v>3589</v>
      </c>
      <c r="F16" t="s">
        <v>3562</v>
      </c>
      <c r="G16" t="s">
        <v>1480</v>
      </c>
    </row>
    <row r="17" customHeight="1" spans="1:7">
      <c r="A17" t="s">
        <v>16</v>
      </c>
      <c r="B17" t="s">
        <v>3557</v>
      </c>
      <c r="C17" t="s">
        <v>3558</v>
      </c>
      <c r="D17" t="s">
        <v>3590</v>
      </c>
      <c r="E17" t="s">
        <v>3591</v>
      </c>
      <c r="F17" t="s">
        <v>3562</v>
      </c>
      <c r="G17" t="s">
        <v>1486</v>
      </c>
    </row>
    <row r="18" customHeight="1" spans="1:7">
      <c r="A18" t="s">
        <v>16</v>
      </c>
      <c r="B18" t="s">
        <v>3557</v>
      </c>
      <c r="C18" t="s">
        <v>3558</v>
      </c>
      <c r="D18" t="s">
        <v>3592</v>
      </c>
      <c r="E18" t="s">
        <v>3593</v>
      </c>
      <c r="F18" t="s">
        <v>3562</v>
      </c>
      <c r="G18" t="s">
        <v>1498</v>
      </c>
    </row>
    <row r="19" customHeight="1" spans="1:7">
      <c r="A19" t="s">
        <v>16</v>
      </c>
      <c r="B19" t="s">
        <v>3557</v>
      </c>
      <c r="C19" t="s">
        <v>3558</v>
      </c>
      <c r="D19" t="s">
        <v>3594</v>
      </c>
      <c r="E19" t="s">
        <v>3595</v>
      </c>
      <c r="F19" t="s">
        <v>3562</v>
      </c>
      <c r="G19" t="s">
        <v>1512</v>
      </c>
    </row>
    <row r="20" customHeight="1" spans="1:7">
      <c r="A20" t="s">
        <v>16</v>
      </c>
      <c r="B20" t="s">
        <v>3557</v>
      </c>
      <c r="C20" t="s">
        <v>3558</v>
      </c>
      <c r="D20" t="s">
        <v>3596</v>
      </c>
      <c r="E20" t="s">
        <v>3597</v>
      </c>
      <c r="F20" t="s">
        <v>3562</v>
      </c>
      <c r="G20" t="s">
        <v>1524</v>
      </c>
    </row>
    <row r="21" customHeight="1" spans="1:7">
      <c r="A21" t="s">
        <v>16</v>
      </c>
      <c r="B21" t="s">
        <v>3557</v>
      </c>
      <c r="C21" t="s">
        <v>3558</v>
      </c>
      <c r="D21" t="s">
        <v>3598</v>
      </c>
      <c r="E21" t="s">
        <v>3599</v>
      </c>
      <c r="F21" t="s">
        <v>3562</v>
      </c>
      <c r="G21" t="s">
        <v>1533</v>
      </c>
    </row>
    <row r="22" customHeight="1" spans="1:7">
      <c r="A22" t="s">
        <v>16</v>
      </c>
      <c r="B22" t="s">
        <v>3557</v>
      </c>
      <c r="C22" t="s">
        <v>3558</v>
      </c>
      <c r="D22" t="s">
        <v>3600</v>
      </c>
      <c r="E22" t="s">
        <v>3601</v>
      </c>
      <c r="F22" t="s">
        <v>3562</v>
      </c>
      <c r="G22" t="s">
        <v>1549</v>
      </c>
    </row>
    <row r="23" customHeight="1" spans="1:7">
      <c r="A23" t="s">
        <v>16</v>
      </c>
      <c r="B23" t="s">
        <v>3557</v>
      </c>
      <c r="C23" t="s">
        <v>3558</v>
      </c>
      <c r="D23" t="s">
        <v>3602</v>
      </c>
      <c r="E23" t="s">
        <v>3603</v>
      </c>
      <c r="F23" t="s">
        <v>3562</v>
      </c>
      <c r="G23" t="s">
        <v>1556</v>
      </c>
    </row>
    <row r="24" customHeight="1" spans="1:7">
      <c r="A24" t="s">
        <v>16</v>
      </c>
      <c r="B24" t="s">
        <v>3557</v>
      </c>
      <c r="C24" t="s">
        <v>3558</v>
      </c>
      <c r="D24" t="s">
        <v>3604</v>
      </c>
      <c r="E24" t="s">
        <v>3605</v>
      </c>
      <c r="F24" t="s">
        <v>3562</v>
      </c>
      <c r="G24" t="s">
        <v>1564</v>
      </c>
    </row>
    <row r="25" customHeight="1" spans="1:7">
      <c r="A25" t="s">
        <v>16</v>
      </c>
      <c r="B25" t="s">
        <v>3606</v>
      </c>
      <c r="C25" t="s">
        <v>3607</v>
      </c>
      <c r="D25" t="s">
        <v>3608</v>
      </c>
      <c r="E25" t="s">
        <v>3609</v>
      </c>
      <c r="F25" t="s">
        <v>3562</v>
      </c>
      <c r="G25" t="s">
        <v>1571</v>
      </c>
    </row>
    <row r="26" customHeight="1" spans="1:7">
      <c r="A26" t="s">
        <v>16</v>
      </c>
      <c r="B26" t="s">
        <v>3606</v>
      </c>
      <c r="C26" t="s">
        <v>3607</v>
      </c>
      <c r="D26" t="s">
        <v>3606</v>
      </c>
      <c r="E26" t="s">
        <v>3607</v>
      </c>
      <c r="F26" t="s">
        <v>3559</v>
      </c>
      <c r="G26" t="s">
        <v>1575</v>
      </c>
    </row>
    <row r="27" customHeight="1" spans="1:7">
      <c r="A27" t="s">
        <v>16</v>
      </c>
      <c r="B27" t="s">
        <v>3606</v>
      </c>
      <c r="C27" t="s">
        <v>3607</v>
      </c>
      <c r="D27" t="s">
        <v>3610</v>
      </c>
      <c r="E27" t="s">
        <v>3611</v>
      </c>
      <c r="F27" t="s">
        <v>3562</v>
      </c>
      <c r="G27" t="s">
        <v>1580</v>
      </c>
    </row>
    <row r="28" customHeight="1" spans="1:7">
      <c r="A28" t="s">
        <v>16</v>
      </c>
      <c r="B28" t="s">
        <v>3606</v>
      </c>
      <c r="C28" t="s">
        <v>3607</v>
      </c>
      <c r="D28" t="s">
        <v>3612</v>
      </c>
      <c r="E28" t="s">
        <v>3613</v>
      </c>
      <c r="F28" t="s">
        <v>3562</v>
      </c>
      <c r="G28" t="s">
        <v>1588</v>
      </c>
    </row>
    <row r="29" customHeight="1" spans="1:7">
      <c r="A29" t="s">
        <v>16</v>
      </c>
      <c r="B29" t="s">
        <v>3606</v>
      </c>
      <c r="C29" t="s">
        <v>3607</v>
      </c>
      <c r="D29" t="s">
        <v>3614</v>
      </c>
      <c r="E29" t="s">
        <v>3615</v>
      </c>
      <c r="F29" t="s">
        <v>3562</v>
      </c>
      <c r="G29" t="s">
        <v>1590</v>
      </c>
    </row>
    <row r="30" customHeight="1" spans="1:7">
      <c r="A30" t="s">
        <v>16</v>
      </c>
      <c r="B30" t="s">
        <v>3606</v>
      </c>
      <c r="C30" t="s">
        <v>3607</v>
      </c>
      <c r="D30" t="s">
        <v>3616</v>
      </c>
      <c r="E30" t="s">
        <v>3617</v>
      </c>
      <c r="F30" t="s">
        <v>3562</v>
      </c>
      <c r="G30" t="s">
        <v>1593</v>
      </c>
    </row>
    <row r="31" customHeight="1" spans="1:7">
      <c r="A31" t="s">
        <v>16</v>
      </c>
      <c r="B31" t="s">
        <v>3606</v>
      </c>
      <c r="C31" t="s">
        <v>3607</v>
      </c>
      <c r="D31" t="s">
        <v>3618</v>
      </c>
      <c r="E31" t="s">
        <v>3619</v>
      </c>
      <c r="F31" t="s">
        <v>3562</v>
      </c>
      <c r="G31" t="s">
        <v>1599</v>
      </c>
    </row>
    <row r="32" customHeight="1" spans="1:7">
      <c r="A32" t="s">
        <v>16</v>
      </c>
      <c r="B32" t="s">
        <v>3606</v>
      </c>
      <c r="C32" t="s">
        <v>3607</v>
      </c>
      <c r="D32" t="s">
        <v>3620</v>
      </c>
      <c r="E32" t="s">
        <v>3621</v>
      </c>
      <c r="F32" t="s">
        <v>3562</v>
      </c>
      <c r="G32" t="s">
        <v>1601</v>
      </c>
    </row>
    <row r="33" customHeight="1" spans="1:7">
      <c r="A33" t="s">
        <v>16</v>
      </c>
      <c r="B33" t="s">
        <v>3606</v>
      </c>
      <c r="C33" t="s">
        <v>3607</v>
      </c>
      <c r="D33" t="s">
        <v>3622</v>
      </c>
      <c r="E33" t="s">
        <v>3623</v>
      </c>
      <c r="F33" t="s">
        <v>3567</v>
      </c>
      <c r="G33" t="s">
        <v>1603</v>
      </c>
    </row>
    <row r="34" customHeight="1" spans="1:7">
      <c r="A34" t="s">
        <v>16</v>
      </c>
      <c r="B34" t="s">
        <v>3606</v>
      </c>
      <c r="C34" t="s">
        <v>3607</v>
      </c>
      <c r="D34" t="s">
        <v>3624</v>
      </c>
      <c r="E34" t="s">
        <v>3625</v>
      </c>
      <c r="F34" t="s">
        <v>3562</v>
      </c>
      <c r="G34" t="s">
        <v>1605</v>
      </c>
    </row>
    <row r="35" customHeight="1" spans="1:7">
      <c r="A35" t="s">
        <v>16</v>
      </c>
      <c r="B35" t="s">
        <v>3606</v>
      </c>
      <c r="C35" t="s">
        <v>3607</v>
      </c>
      <c r="D35" t="s">
        <v>3626</v>
      </c>
      <c r="E35" t="s">
        <v>3627</v>
      </c>
      <c r="F35" t="s">
        <v>3562</v>
      </c>
      <c r="G35" t="s">
        <v>1610</v>
      </c>
    </row>
    <row r="36" customHeight="1" spans="1:7">
      <c r="A36" t="s">
        <v>16</v>
      </c>
      <c r="B36" t="s">
        <v>3606</v>
      </c>
      <c r="C36" t="s">
        <v>3607</v>
      </c>
      <c r="D36" t="s">
        <v>3628</v>
      </c>
      <c r="E36" t="s">
        <v>3629</v>
      </c>
      <c r="F36" t="s">
        <v>3562</v>
      </c>
      <c r="G36" t="s">
        <v>1615</v>
      </c>
    </row>
    <row r="37" customHeight="1" spans="1:7">
      <c r="A37" t="s">
        <v>16</v>
      </c>
      <c r="B37" t="s">
        <v>3606</v>
      </c>
      <c r="C37" t="s">
        <v>3607</v>
      </c>
      <c r="D37" t="s">
        <v>3630</v>
      </c>
      <c r="E37" t="s">
        <v>3631</v>
      </c>
      <c r="F37" t="s">
        <v>3562</v>
      </c>
      <c r="G37" t="s">
        <v>1619</v>
      </c>
    </row>
    <row r="38" customHeight="1" spans="1:7">
      <c r="A38" t="s">
        <v>16</v>
      </c>
      <c r="B38" t="s">
        <v>3606</v>
      </c>
      <c r="C38" t="s">
        <v>3607</v>
      </c>
      <c r="D38" t="s">
        <v>3632</v>
      </c>
      <c r="E38" t="s">
        <v>3633</v>
      </c>
      <c r="F38" t="s">
        <v>3562</v>
      </c>
      <c r="G38" t="s">
        <v>1627</v>
      </c>
    </row>
    <row r="39" customHeight="1" spans="1:7">
      <c r="A39" t="s">
        <v>16</v>
      </c>
      <c r="B39" t="s">
        <v>3606</v>
      </c>
      <c r="C39" t="s">
        <v>3607</v>
      </c>
      <c r="D39" t="s">
        <v>3634</v>
      </c>
      <c r="E39" t="s">
        <v>3635</v>
      </c>
      <c r="F39" t="s">
        <v>3562</v>
      </c>
      <c r="G39" t="s">
        <v>1633</v>
      </c>
    </row>
    <row r="40" customHeight="1" spans="1:7">
      <c r="A40" t="s">
        <v>16</v>
      </c>
      <c r="B40" t="s">
        <v>3606</v>
      </c>
      <c r="C40" t="s">
        <v>3607</v>
      </c>
      <c r="D40" t="s">
        <v>3636</v>
      </c>
      <c r="E40" t="s">
        <v>3637</v>
      </c>
      <c r="F40" t="s">
        <v>3562</v>
      </c>
      <c r="G40" t="s">
        <v>1638</v>
      </c>
    </row>
    <row r="41" customHeight="1" spans="1:7">
      <c r="A41" t="s">
        <v>16</v>
      </c>
      <c r="B41" t="s">
        <v>3606</v>
      </c>
      <c r="C41" t="s">
        <v>3607</v>
      </c>
      <c r="D41" t="s">
        <v>3638</v>
      </c>
      <c r="E41" t="s">
        <v>3639</v>
      </c>
      <c r="F41" t="s">
        <v>3562</v>
      </c>
      <c r="G41" t="s">
        <v>1642</v>
      </c>
    </row>
    <row r="42" customHeight="1" spans="1:7">
      <c r="A42" t="s">
        <v>16</v>
      </c>
      <c r="B42" t="s">
        <v>3606</v>
      </c>
      <c r="C42" t="s">
        <v>3607</v>
      </c>
      <c r="D42" t="s">
        <v>3640</v>
      </c>
      <c r="E42" t="s">
        <v>3641</v>
      </c>
      <c r="F42" t="s">
        <v>3562</v>
      </c>
      <c r="G42" t="s">
        <v>1645</v>
      </c>
    </row>
    <row r="43" customHeight="1" spans="1:7">
      <c r="A43" t="s">
        <v>16</v>
      </c>
      <c r="B43" t="s">
        <v>3606</v>
      </c>
      <c r="C43" t="s">
        <v>3607</v>
      </c>
      <c r="D43" t="s">
        <v>3642</v>
      </c>
      <c r="E43" t="s">
        <v>3643</v>
      </c>
      <c r="F43" t="s">
        <v>3562</v>
      </c>
      <c r="G43" t="s">
        <v>1652</v>
      </c>
    </row>
    <row r="44" customHeight="1" spans="1:7">
      <c r="A44" t="s">
        <v>16</v>
      </c>
      <c r="B44" t="s">
        <v>3606</v>
      </c>
      <c r="C44" t="s">
        <v>3607</v>
      </c>
      <c r="D44" t="s">
        <v>3644</v>
      </c>
      <c r="E44" t="s">
        <v>3645</v>
      </c>
      <c r="F44" t="s">
        <v>3562</v>
      </c>
      <c r="G44" t="s">
        <v>1661</v>
      </c>
    </row>
    <row r="45" customHeight="1" spans="1:7">
      <c r="A45" t="s">
        <v>16</v>
      </c>
      <c r="B45" t="s">
        <v>3606</v>
      </c>
      <c r="C45" t="s">
        <v>3607</v>
      </c>
      <c r="D45" t="s">
        <v>3646</v>
      </c>
      <c r="E45" t="s">
        <v>3647</v>
      </c>
      <c r="F45" t="s">
        <v>3562</v>
      </c>
      <c r="G45" t="s">
        <v>1666</v>
      </c>
    </row>
    <row r="46" customHeight="1" spans="1:7">
      <c r="A46" t="s">
        <v>16</v>
      </c>
      <c r="B46" t="s">
        <v>3606</v>
      </c>
      <c r="C46" t="s">
        <v>3607</v>
      </c>
      <c r="D46" t="s">
        <v>3648</v>
      </c>
      <c r="E46" t="s">
        <v>3649</v>
      </c>
      <c r="F46" t="s">
        <v>3562</v>
      </c>
      <c r="G46" t="s">
        <v>1670</v>
      </c>
    </row>
    <row r="47" customHeight="1" spans="1:7">
      <c r="A47" t="s">
        <v>16</v>
      </c>
      <c r="B47" t="s">
        <v>3606</v>
      </c>
      <c r="C47" t="s">
        <v>3607</v>
      </c>
      <c r="D47" t="s">
        <v>3650</v>
      </c>
      <c r="E47" t="s">
        <v>3651</v>
      </c>
      <c r="F47" t="s">
        <v>3562</v>
      </c>
      <c r="G47" t="s">
        <v>1676</v>
      </c>
    </row>
    <row r="48" customHeight="1" spans="1:7">
      <c r="A48" t="s">
        <v>16</v>
      </c>
      <c r="B48" t="s">
        <v>3606</v>
      </c>
      <c r="C48" t="s">
        <v>3607</v>
      </c>
      <c r="D48" t="s">
        <v>3652</v>
      </c>
      <c r="E48" t="s">
        <v>3653</v>
      </c>
      <c r="F48" t="s">
        <v>3562</v>
      </c>
      <c r="G48" t="s">
        <v>1681</v>
      </c>
    </row>
    <row r="49" customHeight="1" spans="1:7">
      <c r="A49" t="s">
        <v>16</v>
      </c>
      <c r="B49" t="s">
        <v>3606</v>
      </c>
      <c r="C49" t="s">
        <v>3607</v>
      </c>
      <c r="D49" t="s">
        <v>3654</v>
      </c>
      <c r="E49" t="s">
        <v>3655</v>
      </c>
      <c r="F49" t="s">
        <v>3562</v>
      </c>
      <c r="G49" t="s">
        <v>1684</v>
      </c>
    </row>
    <row r="50" customHeight="1" spans="1:7">
      <c r="A50" t="s">
        <v>16</v>
      </c>
      <c r="B50" t="s">
        <v>3606</v>
      </c>
      <c r="C50" t="s">
        <v>3607</v>
      </c>
      <c r="D50" t="s">
        <v>3656</v>
      </c>
      <c r="E50" t="s">
        <v>3657</v>
      </c>
      <c r="F50" t="s">
        <v>3562</v>
      </c>
      <c r="G50" t="s">
        <v>1688</v>
      </c>
    </row>
    <row r="51" customHeight="1" spans="1:7">
      <c r="A51" t="s">
        <v>16</v>
      </c>
      <c r="B51" t="s">
        <v>3606</v>
      </c>
      <c r="C51" t="s">
        <v>3607</v>
      </c>
      <c r="D51" t="s">
        <v>3658</v>
      </c>
      <c r="E51" t="s">
        <v>3659</v>
      </c>
      <c r="F51" t="s">
        <v>3562</v>
      </c>
      <c r="G51" t="s">
        <v>1692</v>
      </c>
    </row>
    <row r="52" customHeight="1" spans="1:7">
      <c r="A52" t="s">
        <v>16</v>
      </c>
      <c r="B52" t="s">
        <v>3606</v>
      </c>
      <c r="C52" t="s">
        <v>3607</v>
      </c>
      <c r="D52" t="s">
        <v>3660</v>
      </c>
      <c r="E52" t="s">
        <v>3661</v>
      </c>
      <c r="F52" t="s">
        <v>3562</v>
      </c>
      <c r="G52" t="s">
        <v>1696</v>
      </c>
    </row>
    <row r="53" customHeight="1" spans="1:7">
      <c r="A53" t="s">
        <v>16</v>
      </c>
      <c r="B53" t="s">
        <v>3606</v>
      </c>
      <c r="C53" t="s">
        <v>3607</v>
      </c>
      <c r="D53" t="s">
        <v>3662</v>
      </c>
      <c r="E53" t="s">
        <v>3663</v>
      </c>
      <c r="F53" t="s">
        <v>3664</v>
      </c>
      <c r="G53" t="s">
        <v>1698</v>
      </c>
    </row>
    <row r="54" customHeight="1" spans="1:7">
      <c r="A54" t="s">
        <v>16</v>
      </c>
      <c r="B54" t="s">
        <v>3665</v>
      </c>
      <c r="C54" t="s">
        <v>3666</v>
      </c>
      <c r="D54" t="s">
        <v>3665</v>
      </c>
      <c r="E54" t="s">
        <v>3666</v>
      </c>
      <c r="F54" t="s">
        <v>3559</v>
      </c>
      <c r="G54" t="s">
        <v>1701</v>
      </c>
    </row>
    <row r="55" customHeight="1" spans="1:7">
      <c r="A55" t="s">
        <v>16</v>
      </c>
      <c r="B55" t="s">
        <v>3665</v>
      </c>
      <c r="C55" t="s">
        <v>3666</v>
      </c>
      <c r="D55" t="s">
        <v>3667</v>
      </c>
      <c r="E55" t="s">
        <v>3668</v>
      </c>
      <c r="F55" t="s">
        <v>3562</v>
      </c>
      <c r="G55" t="s">
        <v>1705</v>
      </c>
    </row>
    <row r="56" customHeight="1" spans="1:7">
      <c r="A56" t="s">
        <v>16</v>
      </c>
      <c r="B56" t="s">
        <v>3665</v>
      </c>
      <c r="C56" t="s">
        <v>3666</v>
      </c>
      <c r="D56" t="s">
        <v>3669</v>
      </c>
      <c r="E56" t="s">
        <v>3670</v>
      </c>
      <c r="F56" t="s">
        <v>3562</v>
      </c>
      <c r="G56" t="s">
        <v>1708</v>
      </c>
    </row>
    <row r="57" customHeight="1" spans="1:7">
      <c r="A57" t="s">
        <v>16</v>
      </c>
      <c r="B57" t="s">
        <v>3665</v>
      </c>
      <c r="C57" t="s">
        <v>3666</v>
      </c>
      <c r="D57" t="s">
        <v>3671</v>
      </c>
      <c r="E57" t="s">
        <v>3672</v>
      </c>
      <c r="F57" t="s">
        <v>3562</v>
      </c>
      <c r="G57" t="s">
        <v>1711</v>
      </c>
    </row>
    <row r="58" customHeight="1" spans="1:7">
      <c r="A58" t="s">
        <v>16</v>
      </c>
      <c r="B58" t="s">
        <v>3665</v>
      </c>
      <c r="C58" t="s">
        <v>3666</v>
      </c>
      <c r="D58" t="s">
        <v>3673</v>
      </c>
      <c r="E58" t="s">
        <v>3674</v>
      </c>
      <c r="F58" t="s">
        <v>3562</v>
      </c>
      <c r="G58" t="s">
        <v>1714</v>
      </c>
    </row>
    <row r="59" customHeight="1" spans="1:7">
      <c r="A59" t="s">
        <v>16</v>
      </c>
      <c r="B59" t="s">
        <v>3665</v>
      </c>
      <c r="C59" t="s">
        <v>3666</v>
      </c>
      <c r="D59" t="s">
        <v>3675</v>
      </c>
      <c r="E59" t="s">
        <v>3676</v>
      </c>
      <c r="F59" t="s">
        <v>3562</v>
      </c>
      <c r="G59" t="s">
        <v>1718</v>
      </c>
    </row>
    <row r="60" customHeight="1" spans="1:7">
      <c r="A60" t="s">
        <v>16</v>
      </c>
      <c r="B60" t="s">
        <v>3665</v>
      </c>
      <c r="C60" t="s">
        <v>3666</v>
      </c>
      <c r="D60" t="s">
        <v>3677</v>
      </c>
      <c r="E60" t="s">
        <v>3678</v>
      </c>
      <c r="F60" t="s">
        <v>3562</v>
      </c>
      <c r="G60" t="s">
        <v>1721</v>
      </c>
    </row>
    <row r="61" customHeight="1" spans="1:7">
      <c r="A61" t="s">
        <v>16</v>
      </c>
      <c r="B61" t="s">
        <v>3665</v>
      </c>
      <c r="C61" t="s">
        <v>3666</v>
      </c>
      <c r="D61" t="s">
        <v>3679</v>
      </c>
      <c r="E61" t="s">
        <v>3680</v>
      </c>
      <c r="F61" t="s">
        <v>3562</v>
      </c>
      <c r="G61" t="s">
        <v>3681</v>
      </c>
    </row>
    <row r="62" customHeight="1" spans="1:7">
      <c r="A62" t="s">
        <v>16</v>
      </c>
      <c r="B62" t="s">
        <v>3665</v>
      </c>
      <c r="C62" t="s">
        <v>3666</v>
      </c>
      <c r="D62" t="s">
        <v>3682</v>
      </c>
      <c r="E62" t="s">
        <v>3683</v>
      </c>
      <c r="F62" t="s">
        <v>3562</v>
      </c>
      <c r="G62" t="s">
        <v>3684</v>
      </c>
    </row>
    <row r="63" customHeight="1" spans="1:7">
      <c r="A63" t="s">
        <v>16</v>
      </c>
      <c r="B63" t="s">
        <v>3665</v>
      </c>
      <c r="C63" t="s">
        <v>3666</v>
      </c>
      <c r="D63" t="s">
        <v>3685</v>
      </c>
      <c r="E63" t="s">
        <v>3686</v>
      </c>
      <c r="F63" t="s">
        <v>3562</v>
      </c>
      <c r="G63" t="s">
        <v>3687</v>
      </c>
    </row>
    <row r="64" customHeight="1" spans="1:7">
      <c r="A64" t="s">
        <v>16</v>
      </c>
      <c r="B64" t="s">
        <v>3665</v>
      </c>
      <c r="C64" t="s">
        <v>3666</v>
      </c>
      <c r="D64" t="s">
        <v>3688</v>
      </c>
      <c r="E64" t="s">
        <v>3689</v>
      </c>
      <c r="F64" t="s">
        <v>3562</v>
      </c>
      <c r="G64" t="s">
        <v>3690</v>
      </c>
    </row>
    <row r="65" customHeight="1" spans="1:7">
      <c r="A65" t="s">
        <v>16</v>
      </c>
      <c r="B65" t="s">
        <v>3665</v>
      </c>
      <c r="C65" t="s">
        <v>3666</v>
      </c>
      <c r="D65" t="s">
        <v>3691</v>
      </c>
      <c r="E65" t="s">
        <v>3692</v>
      </c>
      <c r="F65" t="s">
        <v>3562</v>
      </c>
      <c r="G65" t="s">
        <v>3693</v>
      </c>
    </row>
    <row r="66" customHeight="1" spans="1:7">
      <c r="A66" t="s">
        <v>16</v>
      </c>
      <c r="B66" t="s">
        <v>3665</v>
      </c>
      <c r="C66" t="s">
        <v>3666</v>
      </c>
      <c r="D66" t="s">
        <v>3694</v>
      </c>
      <c r="E66" t="s">
        <v>3695</v>
      </c>
      <c r="F66" t="s">
        <v>3562</v>
      </c>
      <c r="G66" t="s">
        <v>3696</v>
      </c>
    </row>
    <row r="67" customHeight="1" spans="1:7">
      <c r="A67" t="s">
        <v>16</v>
      </c>
      <c r="B67" t="s">
        <v>3665</v>
      </c>
      <c r="C67" t="s">
        <v>3666</v>
      </c>
      <c r="D67" t="s">
        <v>3697</v>
      </c>
      <c r="E67" t="s">
        <v>3698</v>
      </c>
      <c r="F67" t="s">
        <v>3562</v>
      </c>
      <c r="G67" t="s">
        <v>2039</v>
      </c>
    </row>
    <row r="68" customHeight="1" spans="1:7">
      <c r="A68" t="s">
        <v>16</v>
      </c>
      <c r="B68" t="s">
        <v>3665</v>
      </c>
      <c r="C68" t="s">
        <v>3666</v>
      </c>
      <c r="D68" t="s">
        <v>3699</v>
      </c>
      <c r="E68" t="s">
        <v>3700</v>
      </c>
      <c r="F68" t="s">
        <v>3562</v>
      </c>
      <c r="G68" t="s">
        <v>3701</v>
      </c>
    </row>
    <row r="69" customHeight="1" spans="1:7">
      <c r="A69" t="s">
        <v>16</v>
      </c>
      <c r="B69" t="s">
        <v>3665</v>
      </c>
      <c r="C69" t="s">
        <v>3666</v>
      </c>
      <c r="D69" t="s">
        <v>3702</v>
      </c>
      <c r="E69" t="s">
        <v>3703</v>
      </c>
      <c r="F69" t="s">
        <v>3562</v>
      </c>
      <c r="G69" t="s">
        <v>2242</v>
      </c>
    </row>
    <row r="70" customHeight="1" spans="1:7">
      <c r="A70" t="s">
        <v>16</v>
      </c>
      <c r="B70" t="s">
        <v>3665</v>
      </c>
      <c r="C70" t="s">
        <v>3666</v>
      </c>
      <c r="D70" t="s">
        <v>3704</v>
      </c>
      <c r="E70" t="s">
        <v>3705</v>
      </c>
      <c r="F70" t="s">
        <v>3562</v>
      </c>
      <c r="G70" t="s">
        <v>3706</v>
      </c>
    </row>
    <row r="71" customHeight="1" spans="1:7">
      <c r="A71" t="s">
        <v>16</v>
      </c>
      <c r="B71" t="s">
        <v>3665</v>
      </c>
      <c r="C71" t="s">
        <v>3666</v>
      </c>
      <c r="D71" t="s">
        <v>3707</v>
      </c>
      <c r="E71" t="s">
        <v>3708</v>
      </c>
      <c r="F71" t="s">
        <v>3562</v>
      </c>
      <c r="G71" t="s">
        <v>3709</v>
      </c>
    </row>
    <row r="72" customHeight="1" spans="1:7">
      <c r="A72" t="s">
        <v>16</v>
      </c>
      <c r="B72" t="s">
        <v>3665</v>
      </c>
      <c r="C72" t="s">
        <v>3666</v>
      </c>
      <c r="D72" t="s">
        <v>3710</v>
      </c>
      <c r="E72" t="s">
        <v>3711</v>
      </c>
      <c r="F72" t="s">
        <v>3562</v>
      </c>
      <c r="G72" t="s">
        <v>3712</v>
      </c>
    </row>
    <row r="73" customHeight="1" spans="1:7">
      <c r="A73" t="s">
        <v>16</v>
      </c>
      <c r="B73" t="s">
        <v>3665</v>
      </c>
      <c r="C73" t="s">
        <v>3666</v>
      </c>
      <c r="D73" t="s">
        <v>3713</v>
      </c>
      <c r="E73" t="s">
        <v>3714</v>
      </c>
      <c r="F73" t="s">
        <v>3562</v>
      </c>
      <c r="G73" t="s">
        <v>3715</v>
      </c>
    </row>
    <row r="74" customHeight="1" spans="1:7">
      <c r="A74" t="s">
        <v>16</v>
      </c>
      <c r="B74" t="s">
        <v>3665</v>
      </c>
      <c r="C74" t="s">
        <v>3666</v>
      </c>
      <c r="D74" t="s">
        <v>3716</v>
      </c>
      <c r="E74" t="s">
        <v>3717</v>
      </c>
      <c r="F74" t="s">
        <v>3562</v>
      </c>
      <c r="G74" t="s">
        <v>3718</v>
      </c>
    </row>
    <row r="75" customHeight="1" spans="1:7">
      <c r="A75" t="s">
        <v>16</v>
      </c>
      <c r="B75" t="s">
        <v>3665</v>
      </c>
      <c r="C75" t="s">
        <v>3666</v>
      </c>
      <c r="D75" t="s">
        <v>3719</v>
      </c>
      <c r="E75" t="s">
        <v>3720</v>
      </c>
      <c r="F75" t="s">
        <v>3664</v>
      </c>
      <c r="G75" t="s">
        <v>3721</v>
      </c>
    </row>
    <row r="76" customHeight="1" spans="1:7">
      <c r="A76" t="s">
        <v>16</v>
      </c>
      <c r="B76" t="s">
        <v>3722</v>
      </c>
      <c r="C76" t="s">
        <v>3723</v>
      </c>
      <c r="D76" t="s">
        <v>3724</v>
      </c>
      <c r="E76" t="s">
        <v>3725</v>
      </c>
      <c r="F76" t="s">
        <v>3562</v>
      </c>
      <c r="G76" t="s">
        <v>3726</v>
      </c>
    </row>
    <row r="77" customHeight="1" spans="1:7">
      <c r="A77" t="s">
        <v>16</v>
      </c>
      <c r="B77" t="s">
        <v>3722</v>
      </c>
      <c r="C77" t="s">
        <v>3723</v>
      </c>
      <c r="D77" t="s">
        <v>3727</v>
      </c>
      <c r="E77" t="s">
        <v>3728</v>
      </c>
      <c r="F77" t="s">
        <v>3562</v>
      </c>
      <c r="G77" t="s">
        <v>3729</v>
      </c>
    </row>
    <row r="78" customHeight="1" spans="1:7">
      <c r="A78" t="s">
        <v>16</v>
      </c>
      <c r="B78" t="s">
        <v>3722</v>
      </c>
      <c r="C78" t="s">
        <v>3723</v>
      </c>
      <c r="D78" t="s">
        <v>3730</v>
      </c>
      <c r="E78" t="s">
        <v>3731</v>
      </c>
      <c r="F78" t="s">
        <v>3562</v>
      </c>
      <c r="G78" t="s">
        <v>3732</v>
      </c>
    </row>
    <row r="79" customHeight="1" spans="1:7">
      <c r="A79" t="s">
        <v>16</v>
      </c>
      <c r="B79" t="s">
        <v>3722</v>
      </c>
      <c r="C79" t="s">
        <v>3723</v>
      </c>
      <c r="D79" t="s">
        <v>3722</v>
      </c>
      <c r="E79" t="s">
        <v>3723</v>
      </c>
      <c r="F79" t="s">
        <v>3559</v>
      </c>
      <c r="G79" t="s">
        <v>3733</v>
      </c>
    </row>
    <row r="80" customHeight="1" spans="1:7">
      <c r="A80" t="s">
        <v>16</v>
      </c>
      <c r="B80" t="s">
        <v>3722</v>
      </c>
      <c r="C80" t="s">
        <v>3723</v>
      </c>
      <c r="D80" t="s">
        <v>3734</v>
      </c>
      <c r="E80" t="s">
        <v>3735</v>
      </c>
      <c r="F80" t="s">
        <v>3562</v>
      </c>
      <c r="G80" t="s">
        <v>3736</v>
      </c>
    </row>
    <row r="81" customHeight="1" spans="1:7">
      <c r="A81" t="s">
        <v>16</v>
      </c>
      <c r="B81" t="s">
        <v>3722</v>
      </c>
      <c r="C81" t="s">
        <v>3723</v>
      </c>
      <c r="D81" t="s">
        <v>3737</v>
      </c>
      <c r="E81" t="s">
        <v>3738</v>
      </c>
      <c r="F81" t="s">
        <v>3562</v>
      </c>
      <c r="G81" t="s">
        <v>3739</v>
      </c>
    </row>
    <row r="82" customHeight="1" spans="1:7">
      <c r="A82" t="s">
        <v>16</v>
      </c>
      <c r="B82" t="s">
        <v>3722</v>
      </c>
      <c r="C82" t="s">
        <v>3723</v>
      </c>
      <c r="D82" t="s">
        <v>3740</v>
      </c>
      <c r="E82" t="s">
        <v>3741</v>
      </c>
      <c r="F82" t="s">
        <v>3562</v>
      </c>
      <c r="G82" t="s">
        <v>3742</v>
      </c>
    </row>
    <row r="83" customHeight="1" spans="1:7">
      <c r="A83" t="s">
        <v>16</v>
      </c>
      <c r="B83" t="s">
        <v>3722</v>
      </c>
      <c r="C83" t="s">
        <v>3723</v>
      </c>
      <c r="D83" t="s">
        <v>3743</v>
      </c>
      <c r="E83" t="s">
        <v>3744</v>
      </c>
      <c r="F83" t="s">
        <v>3562</v>
      </c>
      <c r="G83" t="s">
        <v>3745</v>
      </c>
    </row>
    <row r="84" customHeight="1" spans="1:7">
      <c r="A84" t="s">
        <v>16</v>
      </c>
      <c r="B84" t="s">
        <v>3722</v>
      </c>
      <c r="C84" t="s">
        <v>3723</v>
      </c>
      <c r="D84" t="s">
        <v>3746</v>
      </c>
      <c r="E84" t="s">
        <v>3747</v>
      </c>
      <c r="F84" t="s">
        <v>3562</v>
      </c>
      <c r="G84" t="s">
        <v>3748</v>
      </c>
    </row>
    <row r="85" customHeight="1" spans="1:7">
      <c r="A85" t="s">
        <v>16</v>
      </c>
      <c r="B85" t="s">
        <v>3722</v>
      </c>
      <c r="C85" t="s">
        <v>3723</v>
      </c>
      <c r="D85" t="s">
        <v>3749</v>
      </c>
      <c r="E85" t="s">
        <v>3750</v>
      </c>
      <c r="F85" t="s">
        <v>3562</v>
      </c>
      <c r="G85" t="s">
        <v>3751</v>
      </c>
    </row>
    <row r="86" customHeight="1" spans="1:7">
      <c r="A86" t="s">
        <v>16</v>
      </c>
      <c r="B86" t="s">
        <v>3722</v>
      </c>
      <c r="C86" t="s">
        <v>3723</v>
      </c>
      <c r="D86" t="s">
        <v>3752</v>
      </c>
      <c r="E86" t="s">
        <v>3753</v>
      </c>
      <c r="F86" t="s">
        <v>3562</v>
      </c>
      <c r="G86" t="s">
        <v>3754</v>
      </c>
    </row>
    <row r="87" customHeight="1" spans="1:7">
      <c r="A87" t="s">
        <v>16</v>
      </c>
      <c r="B87" t="s">
        <v>3722</v>
      </c>
      <c r="C87" t="s">
        <v>3723</v>
      </c>
      <c r="D87" t="s">
        <v>3755</v>
      </c>
      <c r="E87" t="s">
        <v>3756</v>
      </c>
      <c r="F87" t="s">
        <v>3562</v>
      </c>
      <c r="G87" t="s">
        <v>3757</v>
      </c>
    </row>
    <row r="88" customHeight="1" spans="1:7">
      <c r="A88" t="s">
        <v>16</v>
      </c>
      <c r="B88" t="s">
        <v>3722</v>
      </c>
      <c r="C88" t="s">
        <v>3723</v>
      </c>
      <c r="D88" t="s">
        <v>3758</v>
      </c>
      <c r="E88" t="s">
        <v>3759</v>
      </c>
      <c r="F88" t="s">
        <v>3562</v>
      </c>
      <c r="G88" t="s">
        <v>3760</v>
      </c>
    </row>
    <row r="89" customHeight="1" spans="1:7">
      <c r="A89" t="s">
        <v>16</v>
      </c>
      <c r="B89" t="s">
        <v>3722</v>
      </c>
      <c r="C89" t="s">
        <v>3723</v>
      </c>
      <c r="D89" t="s">
        <v>3761</v>
      </c>
      <c r="E89" t="s">
        <v>3762</v>
      </c>
      <c r="F89" t="s">
        <v>3562</v>
      </c>
      <c r="G89" t="s">
        <v>3763</v>
      </c>
    </row>
    <row r="90" customHeight="1" spans="1:7">
      <c r="A90" t="s">
        <v>16</v>
      </c>
      <c r="B90" t="s">
        <v>3722</v>
      </c>
      <c r="C90" t="s">
        <v>3723</v>
      </c>
      <c r="D90" t="s">
        <v>3764</v>
      </c>
      <c r="E90" t="s">
        <v>3765</v>
      </c>
      <c r="F90" t="s">
        <v>3562</v>
      </c>
      <c r="G90" t="s">
        <v>3766</v>
      </c>
    </row>
    <row r="91" customHeight="1" spans="1:7">
      <c r="A91" t="s">
        <v>16</v>
      </c>
      <c r="B91" t="s">
        <v>3722</v>
      </c>
      <c r="C91" t="s">
        <v>3723</v>
      </c>
      <c r="D91" t="s">
        <v>3767</v>
      </c>
      <c r="E91" t="s">
        <v>3768</v>
      </c>
      <c r="F91" t="s">
        <v>3562</v>
      </c>
      <c r="G91" t="s">
        <v>3769</v>
      </c>
    </row>
    <row r="92" customHeight="1" spans="1:7">
      <c r="A92" t="s">
        <v>16</v>
      </c>
      <c r="B92" t="s">
        <v>3722</v>
      </c>
      <c r="C92" t="s">
        <v>3723</v>
      </c>
      <c r="D92" t="s">
        <v>3770</v>
      </c>
      <c r="E92" t="s">
        <v>3771</v>
      </c>
      <c r="F92" t="s">
        <v>3562</v>
      </c>
      <c r="G92" t="s">
        <v>3772</v>
      </c>
    </row>
    <row r="93" customHeight="1" spans="1:7">
      <c r="A93" t="s">
        <v>16</v>
      </c>
      <c r="B93" t="s">
        <v>3722</v>
      </c>
      <c r="C93" t="s">
        <v>3723</v>
      </c>
      <c r="D93" t="s">
        <v>3773</v>
      </c>
      <c r="E93" t="s">
        <v>3774</v>
      </c>
      <c r="F93" t="s">
        <v>3562</v>
      </c>
      <c r="G93" t="s">
        <v>3775</v>
      </c>
    </row>
    <row r="94" customHeight="1" spans="1:7">
      <c r="A94" t="s">
        <v>16</v>
      </c>
      <c r="B94" t="s">
        <v>3722</v>
      </c>
      <c r="C94" t="s">
        <v>3723</v>
      </c>
      <c r="D94" t="s">
        <v>3776</v>
      </c>
      <c r="E94" t="s">
        <v>3777</v>
      </c>
      <c r="F94" t="s">
        <v>3562</v>
      </c>
      <c r="G94" t="s">
        <v>3778</v>
      </c>
    </row>
    <row r="95" customHeight="1" spans="1:7">
      <c r="A95" t="s">
        <v>16</v>
      </c>
      <c r="B95" t="s">
        <v>3722</v>
      </c>
      <c r="C95" t="s">
        <v>3723</v>
      </c>
      <c r="D95" t="s">
        <v>3779</v>
      </c>
      <c r="E95" t="s">
        <v>3780</v>
      </c>
      <c r="F95" t="s">
        <v>3562</v>
      </c>
      <c r="G95" t="s">
        <v>3781</v>
      </c>
    </row>
    <row r="96" customHeight="1" spans="1:7">
      <c r="A96" t="s">
        <v>16</v>
      </c>
      <c r="B96" t="s">
        <v>3722</v>
      </c>
      <c r="C96" t="s">
        <v>3723</v>
      </c>
      <c r="D96" t="s">
        <v>3782</v>
      </c>
      <c r="E96" t="s">
        <v>3783</v>
      </c>
      <c r="F96" t="s">
        <v>3562</v>
      </c>
      <c r="G96" t="s">
        <v>3784</v>
      </c>
    </row>
    <row r="97" customHeight="1" spans="1:7">
      <c r="A97" t="s">
        <v>16</v>
      </c>
      <c r="B97" t="s">
        <v>3722</v>
      </c>
      <c r="C97" t="s">
        <v>3723</v>
      </c>
      <c r="D97" t="s">
        <v>3785</v>
      </c>
      <c r="E97" t="s">
        <v>3786</v>
      </c>
      <c r="F97" t="s">
        <v>3562</v>
      </c>
      <c r="G97" t="s">
        <v>3787</v>
      </c>
    </row>
    <row r="98" customHeight="1" spans="1:7">
      <c r="A98" t="s">
        <v>16</v>
      </c>
      <c r="B98" t="s">
        <v>3722</v>
      </c>
      <c r="C98" t="s">
        <v>3723</v>
      </c>
      <c r="D98" t="s">
        <v>3788</v>
      </c>
      <c r="E98" t="s">
        <v>3789</v>
      </c>
      <c r="F98" t="s">
        <v>3562</v>
      </c>
      <c r="G98" t="s">
        <v>3790</v>
      </c>
    </row>
    <row r="99" customHeight="1" spans="1:7">
      <c r="A99" t="s">
        <v>16</v>
      </c>
      <c r="B99" t="s">
        <v>3722</v>
      </c>
      <c r="C99" t="s">
        <v>3723</v>
      </c>
      <c r="D99" t="s">
        <v>3648</v>
      </c>
      <c r="E99" t="s">
        <v>3791</v>
      </c>
      <c r="F99" t="s">
        <v>3562</v>
      </c>
      <c r="G99" t="s">
        <v>3792</v>
      </c>
    </row>
    <row r="100" customHeight="1" spans="1:7">
      <c r="A100" t="s">
        <v>16</v>
      </c>
      <c r="B100" t="s">
        <v>3722</v>
      </c>
      <c r="C100" t="s">
        <v>3723</v>
      </c>
      <c r="D100" t="s">
        <v>3793</v>
      </c>
      <c r="E100" t="s">
        <v>3794</v>
      </c>
      <c r="F100" t="s">
        <v>3562</v>
      </c>
      <c r="G100" t="s">
        <v>3795</v>
      </c>
    </row>
    <row r="101" customHeight="1" spans="1:7">
      <c r="A101" t="s">
        <v>16</v>
      </c>
      <c r="B101" t="s">
        <v>3722</v>
      </c>
      <c r="C101" t="s">
        <v>3723</v>
      </c>
      <c r="D101" t="s">
        <v>3796</v>
      </c>
      <c r="E101" t="s">
        <v>3797</v>
      </c>
      <c r="F101" t="s">
        <v>3562</v>
      </c>
      <c r="G101" t="s">
        <v>3798</v>
      </c>
    </row>
    <row r="102" customHeight="1" spans="1:7">
      <c r="A102" t="s">
        <v>16</v>
      </c>
      <c r="B102" t="s">
        <v>3722</v>
      </c>
      <c r="C102" t="s">
        <v>3723</v>
      </c>
      <c r="D102" t="s">
        <v>3799</v>
      </c>
      <c r="E102" t="s">
        <v>3800</v>
      </c>
      <c r="F102" t="s">
        <v>3562</v>
      </c>
      <c r="G102" t="s">
        <v>3801</v>
      </c>
    </row>
    <row r="103" customHeight="1" spans="1:7">
      <c r="A103" t="s">
        <v>16</v>
      </c>
      <c r="B103" t="s">
        <v>3802</v>
      </c>
      <c r="C103" t="s">
        <v>3803</v>
      </c>
      <c r="D103" t="s">
        <v>3802</v>
      </c>
      <c r="E103" t="s">
        <v>3803</v>
      </c>
      <c r="F103" t="s">
        <v>3559</v>
      </c>
      <c r="G103" t="s">
        <v>3804</v>
      </c>
    </row>
    <row r="104" customHeight="1" spans="1:7">
      <c r="A104" t="s">
        <v>16</v>
      </c>
      <c r="B104" t="s">
        <v>3802</v>
      </c>
      <c r="C104" t="s">
        <v>3803</v>
      </c>
      <c r="D104" t="s">
        <v>3805</v>
      </c>
      <c r="E104" t="s">
        <v>3806</v>
      </c>
      <c r="F104" t="s">
        <v>3562</v>
      </c>
      <c r="G104" t="s">
        <v>3807</v>
      </c>
    </row>
    <row r="105" customHeight="1" spans="1:7">
      <c r="A105" t="s">
        <v>16</v>
      </c>
      <c r="B105" t="s">
        <v>3802</v>
      </c>
      <c r="C105" t="s">
        <v>3803</v>
      </c>
      <c r="D105" t="s">
        <v>3808</v>
      </c>
      <c r="E105" t="s">
        <v>3809</v>
      </c>
      <c r="F105" t="s">
        <v>3562</v>
      </c>
      <c r="G105" t="s">
        <v>3810</v>
      </c>
    </row>
    <row r="106" customHeight="1" spans="1:7">
      <c r="A106" t="s">
        <v>16</v>
      </c>
      <c r="B106" t="s">
        <v>3802</v>
      </c>
      <c r="C106" t="s">
        <v>3803</v>
      </c>
      <c r="D106" t="s">
        <v>3811</v>
      </c>
      <c r="E106" t="s">
        <v>3812</v>
      </c>
      <c r="F106" t="s">
        <v>3562</v>
      </c>
      <c r="G106" t="s">
        <v>3813</v>
      </c>
    </row>
    <row r="107" customHeight="1" spans="1:7">
      <c r="A107" t="s">
        <v>16</v>
      </c>
      <c r="B107" t="s">
        <v>3802</v>
      </c>
      <c r="C107" t="s">
        <v>3803</v>
      </c>
      <c r="D107" t="s">
        <v>3814</v>
      </c>
      <c r="E107" t="s">
        <v>3815</v>
      </c>
      <c r="F107" t="s">
        <v>3562</v>
      </c>
      <c r="G107" t="s">
        <v>3816</v>
      </c>
    </row>
    <row r="108" customHeight="1" spans="1:7">
      <c r="A108" t="s">
        <v>16</v>
      </c>
      <c r="B108" t="s">
        <v>3802</v>
      </c>
      <c r="C108" t="s">
        <v>3803</v>
      </c>
      <c r="D108" t="s">
        <v>3817</v>
      </c>
      <c r="E108" t="s">
        <v>3818</v>
      </c>
      <c r="F108" t="s">
        <v>3562</v>
      </c>
      <c r="G108" t="s">
        <v>3819</v>
      </c>
    </row>
    <row r="109" customHeight="1" spans="1:7">
      <c r="A109" t="s">
        <v>16</v>
      </c>
      <c r="B109" t="s">
        <v>3802</v>
      </c>
      <c r="C109" t="s">
        <v>3803</v>
      </c>
      <c r="D109" t="s">
        <v>3820</v>
      </c>
      <c r="E109" t="s">
        <v>3821</v>
      </c>
      <c r="F109" t="s">
        <v>3562</v>
      </c>
      <c r="G109" t="s">
        <v>3822</v>
      </c>
    </row>
    <row r="110" customHeight="1" spans="1:7">
      <c r="A110" t="s">
        <v>16</v>
      </c>
      <c r="B110" t="s">
        <v>3802</v>
      </c>
      <c r="C110" t="s">
        <v>3803</v>
      </c>
      <c r="D110" t="s">
        <v>3823</v>
      </c>
      <c r="E110" t="s">
        <v>3824</v>
      </c>
      <c r="F110" t="s">
        <v>3562</v>
      </c>
      <c r="G110" t="s">
        <v>3825</v>
      </c>
    </row>
    <row r="111" customHeight="1" spans="1:7">
      <c r="A111" t="s">
        <v>16</v>
      </c>
      <c r="B111" t="s">
        <v>3802</v>
      </c>
      <c r="C111" t="s">
        <v>3803</v>
      </c>
      <c r="D111" t="s">
        <v>3826</v>
      </c>
      <c r="E111" t="s">
        <v>3827</v>
      </c>
      <c r="F111" t="s">
        <v>3562</v>
      </c>
      <c r="G111" t="s">
        <v>3828</v>
      </c>
    </row>
    <row r="112" customHeight="1" spans="1:7">
      <c r="A112" t="s">
        <v>16</v>
      </c>
      <c r="B112" t="s">
        <v>3802</v>
      </c>
      <c r="C112" t="s">
        <v>3803</v>
      </c>
      <c r="D112" t="s">
        <v>3829</v>
      </c>
      <c r="E112" t="s">
        <v>3830</v>
      </c>
      <c r="F112" t="s">
        <v>3562</v>
      </c>
      <c r="G112" t="s">
        <v>3831</v>
      </c>
    </row>
    <row r="113" customHeight="1" spans="1:7">
      <c r="A113" t="s">
        <v>16</v>
      </c>
      <c r="B113" t="s">
        <v>3802</v>
      </c>
      <c r="C113" t="s">
        <v>3803</v>
      </c>
      <c r="D113" t="s">
        <v>3832</v>
      </c>
      <c r="E113" t="s">
        <v>3833</v>
      </c>
      <c r="F113" t="s">
        <v>3562</v>
      </c>
      <c r="G113" t="s">
        <v>3834</v>
      </c>
    </row>
    <row r="114" customHeight="1" spans="1:7">
      <c r="A114" t="s">
        <v>16</v>
      </c>
      <c r="B114" t="s">
        <v>3802</v>
      </c>
      <c r="C114" t="s">
        <v>3803</v>
      </c>
      <c r="D114" t="s">
        <v>3835</v>
      </c>
      <c r="E114" t="s">
        <v>3836</v>
      </c>
      <c r="F114" t="s">
        <v>3562</v>
      </c>
      <c r="G114" t="s">
        <v>3837</v>
      </c>
    </row>
    <row r="115" customHeight="1" spans="1:7">
      <c r="A115" t="s">
        <v>16</v>
      </c>
      <c r="B115" t="s">
        <v>3802</v>
      </c>
      <c r="C115" t="s">
        <v>3803</v>
      </c>
      <c r="D115" t="s">
        <v>3838</v>
      </c>
      <c r="E115" t="s">
        <v>3839</v>
      </c>
      <c r="F115" t="s">
        <v>3562</v>
      </c>
      <c r="G115" t="s">
        <v>3840</v>
      </c>
    </row>
    <row r="116" customHeight="1" spans="1:7">
      <c r="A116" t="s">
        <v>16</v>
      </c>
      <c r="B116" t="s">
        <v>3802</v>
      </c>
      <c r="C116" t="s">
        <v>3803</v>
      </c>
      <c r="D116" t="s">
        <v>3841</v>
      </c>
      <c r="E116" t="s">
        <v>3842</v>
      </c>
      <c r="F116" t="s">
        <v>3562</v>
      </c>
      <c r="G116" t="s">
        <v>3843</v>
      </c>
    </row>
    <row r="117" customHeight="1" spans="1:7">
      <c r="A117" t="s">
        <v>16</v>
      </c>
      <c r="B117" t="s">
        <v>3802</v>
      </c>
      <c r="C117" t="s">
        <v>3803</v>
      </c>
      <c r="D117" t="s">
        <v>3844</v>
      </c>
      <c r="E117" t="s">
        <v>3845</v>
      </c>
      <c r="F117" t="s">
        <v>3562</v>
      </c>
      <c r="G117" t="s">
        <v>3846</v>
      </c>
    </row>
    <row r="118" customHeight="1" spans="1:7">
      <c r="A118" t="s">
        <v>16</v>
      </c>
      <c r="B118" t="s">
        <v>3802</v>
      </c>
      <c r="C118" t="s">
        <v>3803</v>
      </c>
      <c r="D118" t="s">
        <v>3847</v>
      </c>
      <c r="E118" t="s">
        <v>3848</v>
      </c>
      <c r="F118" t="s">
        <v>3562</v>
      </c>
      <c r="G118" t="s">
        <v>3849</v>
      </c>
    </row>
    <row r="119" customHeight="1" spans="1:7">
      <c r="A119" t="s">
        <v>16</v>
      </c>
      <c r="B119" t="s">
        <v>3802</v>
      </c>
      <c r="C119" t="s">
        <v>3803</v>
      </c>
      <c r="D119" t="s">
        <v>3850</v>
      </c>
      <c r="E119" t="s">
        <v>3851</v>
      </c>
      <c r="F119" t="s">
        <v>3562</v>
      </c>
      <c r="G119" t="s">
        <v>3852</v>
      </c>
    </row>
    <row r="120" customHeight="1" spans="1:7">
      <c r="A120" t="s">
        <v>16</v>
      </c>
      <c r="B120" t="s">
        <v>3802</v>
      </c>
      <c r="C120" t="s">
        <v>3803</v>
      </c>
      <c r="D120" t="s">
        <v>3853</v>
      </c>
      <c r="E120" t="s">
        <v>3854</v>
      </c>
      <c r="F120" t="s">
        <v>3562</v>
      </c>
      <c r="G120" t="s">
        <v>3855</v>
      </c>
    </row>
    <row r="121" customHeight="1" spans="1:7">
      <c r="A121" t="s">
        <v>16</v>
      </c>
      <c r="B121" t="s">
        <v>3802</v>
      </c>
      <c r="C121" t="s">
        <v>3803</v>
      </c>
      <c r="D121" t="s">
        <v>3856</v>
      </c>
      <c r="E121" t="s">
        <v>3857</v>
      </c>
      <c r="F121" t="s">
        <v>3562</v>
      </c>
      <c r="G121" t="s">
        <v>3858</v>
      </c>
    </row>
    <row r="122" customHeight="1" spans="1:7">
      <c r="A122" t="s">
        <v>16</v>
      </c>
      <c r="B122" t="s">
        <v>3802</v>
      </c>
      <c r="C122" t="s">
        <v>3803</v>
      </c>
      <c r="D122" t="s">
        <v>3859</v>
      </c>
      <c r="E122" t="s">
        <v>3860</v>
      </c>
      <c r="F122" t="s">
        <v>3562</v>
      </c>
      <c r="G122" t="s">
        <v>3861</v>
      </c>
    </row>
    <row r="123" customHeight="1" spans="1:7">
      <c r="A123" t="s">
        <v>16</v>
      </c>
      <c r="B123" t="s">
        <v>3802</v>
      </c>
      <c r="C123" t="s">
        <v>3803</v>
      </c>
      <c r="D123" t="s">
        <v>3862</v>
      </c>
      <c r="E123" t="s">
        <v>3863</v>
      </c>
      <c r="F123" t="s">
        <v>3664</v>
      </c>
      <c r="G123" t="s">
        <v>3864</v>
      </c>
    </row>
    <row r="124" customHeight="1" spans="1:7">
      <c r="A124" t="s">
        <v>16</v>
      </c>
      <c r="B124" t="s">
        <v>3865</v>
      </c>
      <c r="C124" t="s">
        <v>3866</v>
      </c>
      <c r="D124" t="s">
        <v>3865</v>
      </c>
      <c r="E124" t="s">
        <v>3866</v>
      </c>
      <c r="F124" t="s">
        <v>3559</v>
      </c>
      <c r="G124" t="s">
        <v>3867</v>
      </c>
    </row>
    <row r="125" customHeight="1" spans="1:7">
      <c r="A125" t="s">
        <v>16</v>
      </c>
      <c r="B125" t="s">
        <v>3865</v>
      </c>
      <c r="C125" t="s">
        <v>3866</v>
      </c>
      <c r="D125" t="s">
        <v>3868</v>
      </c>
      <c r="E125" t="s">
        <v>3869</v>
      </c>
      <c r="F125" t="s">
        <v>3562</v>
      </c>
      <c r="G125" t="s">
        <v>3870</v>
      </c>
    </row>
    <row r="126" customHeight="1" spans="1:7">
      <c r="A126" t="s">
        <v>16</v>
      </c>
      <c r="B126" t="s">
        <v>3865</v>
      </c>
      <c r="C126" t="s">
        <v>3866</v>
      </c>
      <c r="D126" t="s">
        <v>3871</v>
      </c>
      <c r="E126" t="s">
        <v>3872</v>
      </c>
      <c r="F126" t="s">
        <v>3562</v>
      </c>
      <c r="G126" t="s">
        <v>3873</v>
      </c>
    </row>
    <row r="127" customHeight="1" spans="1:7">
      <c r="A127" t="s">
        <v>16</v>
      </c>
      <c r="B127" t="s">
        <v>3865</v>
      </c>
      <c r="C127" t="s">
        <v>3866</v>
      </c>
      <c r="D127" t="s">
        <v>3874</v>
      </c>
      <c r="E127" t="s">
        <v>3875</v>
      </c>
      <c r="F127" t="s">
        <v>3562</v>
      </c>
      <c r="G127" t="s">
        <v>3876</v>
      </c>
    </row>
    <row r="128" customHeight="1" spans="1:7">
      <c r="A128" t="s">
        <v>16</v>
      </c>
      <c r="B128" t="s">
        <v>3865</v>
      </c>
      <c r="C128" t="s">
        <v>3866</v>
      </c>
      <c r="D128" t="s">
        <v>3877</v>
      </c>
      <c r="E128" t="s">
        <v>3878</v>
      </c>
      <c r="F128" t="s">
        <v>3562</v>
      </c>
      <c r="G128" t="s">
        <v>3879</v>
      </c>
    </row>
    <row r="129" customHeight="1" spans="1:7">
      <c r="A129" t="s">
        <v>16</v>
      </c>
      <c r="B129" t="s">
        <v>3865</v>
      </c>
      <c r="C129" t="s">
        <v>3866</v>
      </c>
      <c r="D129" t="s">
        <v>3880</v>
      </c>
      <c r="E129" t="s">
        <v>3881</v>
      </c>
      <c r="F129" t="s">
        <v>3562</v>
      </c>
      <c r="G129" t="s">
        <v>3882</v>
      </c>
    </row>
    <row r="130" customHeight="1" spans="1:7">
      <c r="A130" t="s">
        <v>16</v>
      </c>
      <c r="B130" t="s">
        <v>3865</v>
      </c>
      <c r="C130" t="s">
        <v>3866</v>
      </c>
      <c r="D130" t="s">
        <v>3883</v>
      </c>
      <c r="E130" t="s">
        <v>3884</v>
      </c>
      <c r="F130" t="s">
        <v>3562</v>
      </c>
      <c r="G130" t="s">
        <v>3885</v>
      </c>
    </row>
    <row r="131" customHeight="1" spans="1:7">
      <c r="A131" t="s">
        <v>16</v>
      </c>
      <c r="B131" t="s">
        <v>3865</v>
      </c>
      <c r="C131" t="s">
        <v>3866</v>
      </c>
      <c r="D131" t="s">
        <v>3886</v>
      </c>
      <c r="E131" t="s">
        <v>3887</v>
      </c>
      <c r="F131" t="s">
        <v>3562</v>
      </c>
      <c r="G131" t="s">
        <v>3888</v>
      </c>
    </row>
    <row r="132" customHeight="1" spans="1:7">
      <c r="A132" t="s">
        <v>16</v>
      </c>
      <c r="B132" t="s">
        <v>3865</v>
      </c>
      <c r="C132" t="s">
        <v>3866</v>
      </c>
      <c r="D132" t="s">
        <v>3889</v>
      </c>
      <c r="E132" t="s">
        <v>3890</v>
      </c>
      <c r="F132" t="s">
        <v>3562</v>
      </c>
      <c r="G132" t="s">
        <v>3891</v>
      </c>
    </row>
    <row r="133" customHeight="1" spans="1:7">
      <c r="A133" t="s">
        <v>16</v>
      </c>
      <c r="B133" t="s">
        <v>3865</v>
      </c>
      <c r="C133" t="s">
        <v>3866</v>
      </c>
      <c r="D133" t="s">
        <v>3892</v>
      </c>
      <c r="E133" t="s">
        <v>3893</v>
      </c>
      <c r="F133" t="s">
        <v>3562</v>
      </c>
      <c r="G133" t="s">
        <v>3894</v>
      </c>
    </row>
    <row r="134" customHeight="1" spans="1:7">
      <c r="A134" t="s">
        <v>16</v>
      </c>
      <c r="B134" t="s">
        <v>3865</v>
      </c>
      <c r="C134" t="s">
        <v>3866</v>
      </c>
      <c r="D134" t="s">
        <v>3895</v>
      </c>
      <c r="E134" t="s">
        <v>3896</v>
      </c>
      <c r="F134" t="s">
        <v>3562</v>
      </c>
      <c r="G134" t="s">
        <v>3897</v>
      </c>
    </row>
    <row r="135" customHeight="1" spans="1:7">
      <c r="A135" t="s">
        <v>16</v>
      </c>
      <c r="B135" t="s">
        <v>3865</v>
      </c>
      <c r="C135" t="s">
        <v>3866</v>
      </c>
      <c r="D135" t="s">
        <v>3898</v>
      </c>
      <c r="E135" t="s">
        <v>3899</v>
      </c>
      <c r="F135" t="s">
        <v>3562</v>
      </c>
      <c r="G135" t="s">
        <v>3900</v>
      </c>
    </row>
    <row r="136" customHeight="1" spans="1:7">
      <c r="A136" t="s">
        <v>16</v>
      </c>
      <c r="B136" t="s">
        <v>3865</v>
      </c>
      <c r="C136" t="s">
        <v>3866</v>
      </c>
      <c r="D136" t="s">
        <v>3901</v>
      </c>
      <c r="E136" t="s">
        <v>3902</v>
      </c>
      <c r="F136" t="s">
        <v>3562</v>
      </c>
      <c r="G136" t="s">
        <v>3903</v>
      </c>
    </row>
    <row r="137" customHeight="1" spans="1:7">
      <c r="A137" t="s">
        <v>16</v>
      </c>
      <c r="B137" t="s">
        <v>3865</v>
      </c>
      <c r="C137" t="s">
        <v>3866</v>
      </c>
      <c r="D137" t="s">
        <v>3904</v>
      </c>
      <c r="E137" t="s">
        <v>3905</v>
      </c>
      <c r="F137" t="s">
        <v>3562</v>
      </c>
      <c r="G137" t="s">
        <v>3906</v>
      </c>
    </row>
    <row r="138" customHeight="1" spans="1:7">
      <c r="A138" t="s">
        <v>16</v>
      </c>
      <c r="B138" t="s">
        <v>3865</v>
      </c>
      <c r="C138" t="s">
        <v>3866</v>
      </c>
      <c r="D138" t="s">
        <v>3907</v>
      </c>
      <c r="E138" t="s">
        <v>3908</v>
      </c>
      <c r="F138" t="s">
        <v>3562</v>
      </c>
      <c r="G138" t="s">
        <v>3909</v>
      </c>
    </row>
    <row r="139" customHeight="1" spans="1:7">
      <c r="A139" t="s">
        <v>16</v>
      </c>
      <c r="B139" t="s">
        <v>3865</v>
      </c>
      <c r="C139" t="s">
        <v>3866</v>
      </c>
      <c r="D139" t="s">
        <v>3910</v>
      </c>
      <c r="E139" t="s">
        <v>3911</v>
      </c>
      <c r="F139" t="s">
        <v>3562</v>
      </c>
      <c r="G139" t="s">
        <v>3912</v>
      </c>
    </row>
    <row r="140" customHeight="1" spans="1:7">
      <c r="A140" t="s">
        <v>16</v>
      </c>
      <c r="B140" t="s">
        <v>3865</v>
      </c>
      <c r="C140" t="s">
        <v>3866</v>
      </c>
      <c r="D140" t="s">
        <v>3913</v>
      </c>
      <c r="E140" t="s">
        <v>3914</v>
      </c>
      <c r="F140" t="s">
        <v>3562</v>
      </c>
      <c r="G140" t="s">
        <v>3915</v>
      </c>
    </row>
    <row r="141" customHeight="1" spans="1:7">
      <c r="A141" t="s">
        <v>16</v>
      </c>
      <c r="B141" t="s">
        <v>3865</v>
      </c>
      <c r="C141" t="s">
        <v>3866</v>
      </c>
      <c r="D141" t="s">
        <v>3916</v>
      </c>
      <c r="E141" t="s">
        <v>3917</v>
      </c>
      <c r="F141" t="s">
        <v>3562</v>
      </c>
      <c r="G141" t="s">
        <v>3918</v>
      </c>
    </row>
    <row r="142" customHeight="1" spans="1:7">
      <c r="A142" t="s">
        <v>16</v>
      </c>
      <c r="B142" t="s">
        <v>3865</v>
      </c>
      <c r="C142" t="s">
        <v>3866</v>
      </c>
      <c r="D142" t="s">
        <v>3919</v>
      </c>
      <c r="E142" t="s">
        <v>3920</v>
      </c>
      <c r="F142" t="s">
        <v>3562</v>
      </c>
      <c r="G142" t="s">
        <v>3921</v>
      </c>
    </row>
    <row r="143" customHeight="1" spans="1:7">
      <c r="A143" t="s">
        <v>16</v>
      </c>
      <c r="B143" t="s">
        <v>3865</v>
      </c>
      <c r="C143" t="s">
        <v>3866</v>
      </c>
      <c r="D143" t="s">
        <v>3922</v>
      </c>
      <c r="E143" t="s">
        <v>3923</v>
      </c>
      <c r="F143" t="s">
        <v>3562</v>
      </c>
      <c r="G143" t="s">
        <v>3924</v>
      </c>
    </row>
    <row r="144" customHeight="1" spans="1:7">
      <c r="A144" t="s">
        <v>16</v>
      </c>
      <c r="B144" t="s">
        <v>3865</v>
      </c>
      <c r="C144" t="s">
        <v>3866</v>
      </c>
      <c r="D144" t="s">
        <v>3925</v>
      </c>
      <c r="E144" t="s">
        <v>3926</v>
      </c>
      <c r="F144" t="s">
        <v>3562</v>
      </c>
      <c r="G144" t="s">
        <v>3927</v>
      </c>
    </row>
    <row r="145" customHeight="1" spans="1:7">
      <c r="A145" t="s">
        <v>16</v>
      </c>
      <c r="B145" t="s">
        <v>3865</v>
      </c>
      <c r="C145" t="s">
        <v>3866</v>
      </c>
      <c r="D145" t="s">
        <v>3928</v>
      </c>
      <c r="E145" t="s">
        <v>3929</v>
      </c>
      <c r="F145" t="s">
        <v>3562</v>
      </c>
      <c r="G145" t="s">
        <v>3930</v>
      </c>
    </row>
    <row r="146" customHeight="1" spans="1:7">
      <c r="A146" t="s">
        <v>16</v>
      </c>
      <c r="B146" t="s">
        <v>3931</v>
      </c>
      <c r="C146" t="s">
        <v>3932</v>
      </c>
      <c r="D146" t="s">
        <v>3933</v>
      </c>
      <c r="E146" t="s">
        <v>3934</v>
      </c>
      <c r="F146" t="s">
        <v>3562</v>
      </c>
      <c r="G146" t="s">
        <v>3935</v>
      </c>
    </row>
    <row r="147" customHeight="1" spans="1:7">
      <c r="A147" t="s">
        <v>16</v>
      </c>
      <c r="B147" t="s">
        <v>3931</v>
      </c>
      <c r="C147" t="s">
        <v>3932</v>
      </c>
      <c r="D147" t="s">
        <v>3931</v>
      </c>
      <c r="E147" t="s">
        <v>3932</v>
      </c>
      <c r="F147" t="s">
        <v>3559</v>
      </c>
      <c r="G147" t="s">
        <v>3936</v>
      </c>
    </row>
    <row r="148" customHeight="1" spans="1:7">
      <c r="A148" t="s">
        <v>16</v>
      </c>
      <c r="B148" t="s">
        <v>3931</v>
      </c>
      <c r="C148" t="s">
        <v>3932</v>
      </c>
      <c r="D148" t="s">
        <v>3937</v>
      </c>
      <c r="E148" t="s">
        <v>3938</v>
      </c>
      <c r="F148" t="s">
        <v>3562</v>
      </c>
      <c r="G148" t="s">
        <v>3939</v>
      </c>
    </row>
    <row r="149" customHeight="1" spans="1:7">
      <c r="A149" t="s">
        <v>16</v>
      </c>
      <c r="B149" t="s">
        <v>3931</v>
      </c>
      <c r="C149" t="s">
        <v>3932</v>
      </c>
      <c r="D149" t="s">
        <v>3868</v>
      </c>
      <c r="E149" t="s">
        <v>3940</v>
      </c>
      <c r="F149" t="s">
        <v>3562</v>
      </c>
      <c r="G149" t="s">
        <v>3941</v>
      </c>
    </row>
    <row r="150" customHeight="1" spans="1:7">
      <c r="A150" t="s">
        <v>16</v>
      </c>
      <c r="B150" t="s">
        <v>3931</v>
      </c>
      <c r="C150" t="s">
        <v>3932</v>
      </c>
      <c r="D150" t="s">
        <v>3942</v>
      </c>
      <c r="E150" t="s">
        <v>3943</v>
      </c>
      <c r="F150" t="s">
        <v>3562</v>
      </c>
      <c r="G150" t="s">
        <v>3944</v>
      </c>
    </row>
    <row r="151" customHeight="1" spans="1:7">
      <c r="A151" t="s">
        <v>16</v>
      </c>
      <c r="B151" t="s">
        <v>3931</v>
      </c>
      <c r="C151" t="s">
        <v>3932</v>
      </c>
      <c r="D151" t="s">
        <v>3945</v>
      </c>
      <c r="E151" t="s">
        <v>3946</v>
      </c>
      <c r="F151" t="s">
        <v>3562</v>
      </c>
      <c r="G151" t="s">
        <v>3947</v>
      </c>
    </row>
    <row r="152" customHeight="1" spans="1:7">
      <c r="A152" t="s">
        <v>16</v>
      </c>
      <c r="B152" t="s">
        <v>3931</v>
      </c>
      <c r="C152" t="s">
        <v>3932</v>
      </c>
      <c r="D152" t="s">
        <v>3874</v>
      </c>
      <c r="E152" t="s">
        <v>3948</v>
      </c>
      <c r="F152" t="s">
        <v>3562</v>
      </c>
      <c r="G152" t="s">
        <v>3949</v>
      </c>
    </row>
    <row r="153" customHeight="1" spans="1:7">
      <c r="A153" t="s">
        <v>16</v>
      </c>
      <c r="B153" t="s">
        <v>3931</v>
      </c>
      <c r="C153" t="s">
        <v>3932</v>
      </c>
      <c r="D153" t="s">
        <v>3950</v>
      </c>
      <c r="E153" t="s">
        <v>3951</v>
      </c>
      <c r="F153" t="s">
        <v>3562</v>
      </c>
      <c r="G153" t="s">
        <v>3952</v>
      </c>
    </row>
    <row r="154" customHeight="1" spans="1:7">
      <c r="A154" t="s">
        <v>16</v>
      </c>
      <c r="B154" t="s">
        <v>3931</v>
      </c>
      <c r="C154" t="s">
        <v>3932</v>
      </c>
      <c r="D154" t="s">
        <v>3953</v>
      </c>
      <c r="E154" t="s">
        <v>3954</v>
      </c>
      <c r="F154" t="s">
        <v>3562</v>
      </c>
      <c r="G154" t="s">
        <v>3955</v>
      </c>
    </row>
    <row r="155" customHeight="1" spans="1:7">
      <c r="A155" t="s">
        <v>16</v>
      </c>
      <c r="B155" t="s">
        <v>3931</v>
      </c>
      <c r="C155" t="s">
        <v>3932</v>
      </c>
      <c r="D155" t="s">
        <v>3956</v>
      </c>
      <c r="E155" t="s">
        <v>3957</v>
      </c>
      <c r="F155" t="s">
        <v>3562</v>
      </c>
      <c r="G155" t="s">
        <v>3958</v>
      </c>
    </row>
    <row r="156" customHeight="1" spans="1:7">
      <c r="A156" t="s">
        <v>16</v>
      </c>
      <c r="B156" t="s">
        <v>3931</v>
      </c>
      <c r="C156" t="s">
        <v>3932</v>
      </c>
      <c r="D156" t="s">
        <v>3959</v>
      </c>
      <c r="E156" t="s">
        <v>3960</v>
      </c>
      <c r="F156" t="s">
        <v>3562</v>
      </c>
      <c r="G156" t="s">
        <v>3961</v>
      </c>
    </row>
    <row r="157" customHeight="1" spans="1:7">
      <c r="A157" t="s">
        <v>16</v>
      </c>
      <c r="B157" t="s">
        <v>3931</v>
      </c>
      <c r="C157" t="s">
        <v>3932</v>
      </c>
      <c r="D157" t="s">
        <v>3962</v>
      </c>
      <c r="E157" t="s">
        <v>3963</v>
      </c>
      <c r="F157" t="s">
        <v>3567</v>
      </c>
      <c r="G157" t="s">
        <v>3964</v>
      </c>
    </row>
    <row r="158" customHeight="1" spans="1:7">
      <c r="A158" t="s">
        <v>16</v>
      </c>
      <c r="B158" t="s">
        <v>3931</v>
      </c>
      <c r="C158" t="s">
        <v>3932</v>
      </c>
      <c r="D158" t="s">
        <v>3965</v>
      </c>
      <c r="E158" t="s">
        <v>3966</v>
      </c>
      <c r="F158" t="s">
        <v>3562</v>
      </c>
      <c r="G158" t="s">
        <v>3967</v>
      </c>
    </row>
    <row r="159" customHeight="1" spans="1:7">
      <c r="A159" t="s">
        <v>16</v>
      </c>
      <c r="B159" t="s">
        <v>3931</v>
      </c>
      <c r="C159" t="s">
        <v>3932</v>
      </c>
      <c r="D159" t="s">
        <v>3968</v>
      </c>
      <c r="E159" t="s">
        <v>3969</v>
      </c>
      <c r="F159" t="s">
        <v>3562</v>
      </c>
      <c r="G159" t="s">
        <v>3970</v>
      </c>
    </row>
    <row r="160" customHeight="1" spans="1:7">
      <c r="A160" t="s">
        <v>16</v>
      </c>
      <c r="B160" t="s">
        <v>3931</v>
      </c>
      <c r="C160" t="s">
        <v>3932</v>
      </c>
      <c r="D160" t="s">
        <v>3971</v>
      </c>
      <c r="E160" t="s">
        <v>3972</v>
      </c>
      <c r="F160" t="s">
        <v>3562</v>
      </c>
      <c r="G160" t="s">
        <v>3973</v>
      </c>
    </row>
    <row r="161" customHeight="1" spans="1:7">
      <c r="A161" t="s">
        <v>16</v>
      </c>
      <c r="B161" t="s">
        <v>3931</v>
      </c>
      <c r="C161" t="s">
        <v>3932</v>
      </c>
      <c r="D161" t="s">
        <v>3974</v>
      </c>
      <c r="E161" t="s">
        <v>3975</v>
      </c>
      <c r="F161" t="s">
        <v>3562</v>
      </c>
      <c r="G161" t="s">
        <v>3976</v>
      </c>
    </row>
    <row r="162" customHeight="1" spans="1:7">
      <c r="A162" t="s">
        <v>16</v>
      </c>
      <c r="B162" t="s">
        <v>3931</v>
      </c>
      <c r="C162" t="s">
        <v>3932</v>
      </c>
      <c r="D162" t="s">
        <v>3977</v>
      </c>
      <c r="E162" t="s">
        <v>3978</v>
      </c>
      <c r="F162" t="s">
        <v>3562</v>
      </c>
      <c r="G162" t="s">
        <v>3979</v>
      </c>
    </row>
    <row r="163" customHeight="1" spans="1:7">
      <c r="A163" t="s">
        <v>16</v>
      </c>
      <c r="B163" t="s">
        <v>3931</v>
      </c>
      <c r="C163" t="s">
        <v>3932</v>
      </c>
      <c r="D163" t="s">
        <v>3980</v>
      </c>
      <c r="E163" t="s">
        <v>3981</v>
      </c>
      <c r="F163" t="s">
        <v>3562</v>
      </c>
      <c r="G163" t="s">
        <v>3982</v>
      </c>
    </row>
    <row r="164" customHeight="1" spans="1:7">
      <c r="A164" t="s">
        <v>16</v>
      </c>
      <c r="B164" t="s">
        <v>3931</v>
      </c>
      <c r="C164" t="s">
        <v>3932</v>
      </c>
      <c r="D164" t="s">
        <v>3983</v>
      </c>
      <c r="E164" t="s">
        <v>3984</v>
      </c>
      <c r="F164" t="s">
        <v>3562</v>
      </c>
      <c r="G164" t="s">
        <v>3985</v>
      </c>
    </row>
    <row r="165" customHeight="1" spans="1:7">
      <c r="A165" t="s">
        <v>16</v>
      </c>
      <c r="B165" t="s">
        <v>3931</v>
      </c>
      <c r="C165" t="s">
        <v>3932</v>
      </c>
      <c r="D165" t="s">
        <v>3986</v>
      </c>
      <c r="E165" t="s">
        <v>3987</v>
      </c>
      <c r="F165" t="s">
        <v>3562</v>
      </c>
      <c r="G165" t="s">
        <v>3988</v>
      </c>
    </row>
    <row r="166" customHeight="1" spans="1:7">
      <c r="A166" t="s">
        <v>16</v>
      </c>
      <c r="B166" t="s">
        <v>3931</v>
      </c>
      <c r="C166" t="s">
        <v>3932</v>
      </c>
      <c r="D166" t="s">
        <v>3989</v>
      </c>
      <c r="E166" t="s">
        <v>3990</v>
      </c>
      <c r="F166" t="s">
        <v>3562</v>
      </c>
      <c r="G166" t="s">
        <v>3991</v>
      </c>
    </row>
    <row r="167" customHeight="1" spans="1:7">
      <c r="A167" t="s">
        <v>16</v>
      </c>
      <c r="B167" t="s">
        <v>3931</v>
      </c>
      <c r="C167" t="s">
        <v>3932</v>
      </c>
      <c r="D167" t="s">
        <v>3992</v>
      </c>
      <c r="E167" t="s">
        <v>3993</v>
      </c>
      <c r="F167" t="s">
        <v>3562</v>
      </c>
      <c r="G167" t="s">
        <v>3994</v>
      </c>
    </row>
    <row r="168" customHeight="1" spans="1:7">
      <c r="A168" t="s">
        <v>16</v>
      </c>
      <c r="B168" t="s">
        <v>3931</v>
      </c>
      <c r="C168" t="s">
        <v>3932</v>
      </c>
      <c r="D168" t="s">
        <v>3995</v>
      </c>
      <c r="E168" t="s">
        <v>3996</v>
      </c>
      <c r="F168" t="s">
        <v>3562</v>
      </c>
      <c r="G168" t="s">
        <v>3997</v>
      </c>
    </row>
    <row r="169" customHeight="1" spans="1:7">
      <c r="A169" t="s">
        <v>16</v>
      </c>
      <c r="B169" t="s">
        <v>3931</v>
      </c>
      <c r="C169" t="s">
        <v>3932</v>
      </c>
      <c r="D169" t="s">
        <v>3998</v>
      </c>
      <c r="E169" t="s">
        <v>3999</v>
      </c>
      <c r="F169" t="s">
        <v>3562</v>
      </c>
      <c r="G169" t="s">
        <v>4000</v>
      </c>
    </row>
    <row r="170" customHeight="1" spans="1:7">
      <c r="A170" t="s">
        <v>16</v>
      </c>
      <c r="B170" t="s">
        <v>3931</v>
      </c>
      <c r="C170" t="s">
        <v>3932</v>
      </c>
      <c r="D170" t="s">
        <v>4001</v>
      </c>
      <c r="E170" t="s">
        <v>4002</v>
      </c>
      <c r="F170" t="s">
        <v>3562</v>
      </c>
      <c r="G170" t="s">
        <v>4003</v>
      </c>
    </row>
    <row r="171" customHeight="1" spans="1:7">
      <c r="A171" t="s">
        <v>16</v>
      </c>
      <c r="B171" t="s">
        <v>3931</v>
      </c>
      <c r="C171" t="s">
        <v>3932</v>
      </c>
      <c r="D171" t="s">
        <v>4004</v>
      </c>
      <c r="E171" t="s">
        <v>4005</v>
      </c>
      <c r="F171" t="s">
        <v>3562</v>
      </c>
      <c r="G171" t="s">
        <v>4006</v>
      </c>
    </row>
    <row r="172" customHeight="1" spans="1:7">
      <c r="A172" t="s">
        <v>16</v>
      </c>
      <c r="B172" t="s">
        <v>3931</v>
      </c>
      <c r="C172" t="s">
        <v>3932</v>
      </c>
      <c r="D172" t="s">
        <v>4007</v>
      </c>
      <c r="E172" t="s">
        <v>4008</v>
      </c>
      <c r="F172" t="s">
        <v>3562</v>
      </c>
      <c r="G172" t="s">
        <v>4009</v>
      </c>
    </row>
    <row r="173" customHeight="1" spans="1:7">
      <c r="A173" t="s">
        <v>16</v>
      </c>
      <c r="B173" t="s">
        <v>3931</v>
      </c>
      <c r="C173" t="s">
        <v>3932</v>
      </c>
      <c r="D173" t="s">
        <v>4010</v>
      </c>
      <c r="E173" t="s">
        <v>4011</v>
      </c>
      <c r="F173" t="s">
        <v>3562</v>
      </c>
      <c r="G173" t="s">
        <v>4012</v>
      </c>
    </row>
    <row r="174" customHeight="1" spans="1:7">
      <c r="A174" t="s">
        <v>16</v>
      </c>
      <c r="B174" t="s">
        <v>3931</v>
      </c>
      <c r="C174" t="s">
        <v>3932</v>
      </c>
      <c r="D174" t="s">
        <v>4013</v>
      </c>
      <c r="E174" t="s">
        <v>4014</v>
      </c>
      <c r="F174" t="s">
        <v>3562</v>
      </c>
      <c r="G174" t="s">
        <v>4015</v>
      </c>
    </row>
    <row r="175" customHeight="1" spans="1:7">
      <c r="A175" t="s">
        <v>16</v>
      </c>
      <c r="B175" t="s">
        <v>3931</v>
      </c>
      <c r="C175" t="s">
        <v>3932</v>
      </c>
      <c r="D175" t="s">
        <v>4016</v>
      </c>
      <c r="E175" t="s">
        <v>4017</v>
      </c>
      <c r="F175" t="s">
        <v>3562</v>
      </c>
      <c r="G175" t="s">
        <v>4018</v>
      </c>
    </row>
    <row r="176" customHeight="1" spans="1:7">
      <c r="A176" t="s">
        <v>16</v>
      </c>
      <c r="B176" t="s">
        <v>3931</v>
      </c>
      <c r="C176" t="s">
        <v>3932</v>
      </c>
      <c r="D176" t="s">
        <v>4019</v>
      </c>
      <c r="E176" t="s">
        <v>4020</v>
      </c>
      <c r="F176" t="s">
        <v>3562</v>
      </c>
      <c r="G176" t="s">
        <v>4021</v>
      </c>
    </row>
    <row r="177" customHeight="1" spans="1:7">
      <c r="A177" t="s">
        <v>16</v>
      </c>
      <c r="B177" t="s">
        <v>3931</v>
      </c>
      <c r="C177" t="s">
        <v>3932</v>
      </c>
      <c r="D177" t="s">
        <v>4022</v>
      </c>
      <c r="E177" t="s">
        <v>4023</v>
      </c>
      <c r="F177" t="s">
        <v>3562</v>
      </c>
      <c r="G177" t="s">
        <v>4024</v>
      </c>
    </row>
    <row r="178" customHeight="1" spans="1:7">
      <c r="A178" t="s">
        <v>16</v>
      </c>
      <c r="B178" t="s">
        <v>3931</v>
      </c>
      <c r="C178" t="s">
        <v>3932</v>
      </c>
      <c r="D178" t="s">
        <v>4025</v>
      </c>
      <c r="E178" t="s">
        <v>4026</v>
      </c>
      <c r="F178" t="s">
        <v>3562</v>
      </c>
      <c r="G178" t="s">
        <v>4027</v>
      </c>
    </row>
    <row r="179" customHeight="1" spans="1:7">
      <c r="A179" t="s">
        <v>16</v>
      </c>
      <c r="B179" t="s">
        <v>3931</v>
      </c>
      <c r="C179" t="s">
        <v>3932</v>
      </c>
      <c r="D179" t="s">
        <v>4028</v>
      </c>
      <c r="E179" t="s">
        <v>4029</v>
      </c>
      <c r="F179" t="s">
        <v>3562</v>
      </c>
      <c r="G179" t="s">
        <v>4030</v>
      </c>
    </row>
    <row r="180" customHeight="1" spans="1:7">
      <c r="A180" t="s">
        <v>16</v>
      </c>
      <c r="B180" t="s">
        <v>3931</v>
      </c>
      <c r="C180" t="s">
        <v>3932</v>
      </c>
      <c r="D180" t="s">
        <v>4031</v>
      </c>
      <c r="E180" t="s">
        <v>4032</v>
      </c>
      <c r="F180" t="s">
        <v>3562</v>
      </c>
      <c r="G180" t="s">
        <v>4033</v>
      </c>
    </row>
    <row r="181" customHeight="1" spans="1:7">
      <c r="A181" t="s">
        <v>16</v>
      </c>
      <c r="B181" t="s">
        <v>3931</v>
      </c>
      <c r="C181" t="s">
        <v>3932</v>
      </c>
      <c r="D181" t="s">
        <v>4034</v>
      </c>
      <c r="E181" t="s">
        <v>4035</v>
      </c>
      <c r="F181" t="s">
        <v>3562</v>
      </c>
      <c r="G181" t="s">
        <v>4036</v>
      </c>
    </row>
    <row r="182" customHeight="1" spans="1:7">
      <c r="A182" t="s">
        <v>16</v>
      </c>
      <c r="B182" t="s">
        <v>3931</v>
      </c>
      <c r="C182" t="s">
        <v>3932</v>
      </c>
      <c r="D182" t="s">
        <v>4037</v>
      </c>
      <c r="E182" t="s">
        <v>4038</v>
      </c>
      <c r="F182" t="s">
        <v>3562</v>
      </c>
      <c r="G182" t="s">
        <v>4039</v>
      </c>
    </row>
    <row r="183" customHeight="1" spans="1:7">
      <c r="A183" t="s">
        <v>16</v>
      </c>
      <c r="B183" t="s">
        <v>3931</v>
      </c>
      <c r="C183" t="s">
        <v>3932</v>
      </c>
      <c r="D183" t="s">
        <v>4040</v>
      </c>
      <c r="E183" t="s">
        <v>4041</v>
      </c>
      <c r="F183" t="s">
        <v>3567</v>
      </c>
      <c r="G183" t="s">
        <v>4042</v>
      </c>
    </row>
    <row r="184" customHeight="1" spans="1:7">
      <c r="A184" t="s">
        <v>16</v>
      </c>
      <c r="B184" t="s">
        <v>4043</v>
      </c>
      <c r="C184" t="s">
        <v>4044</v>
      </c>
      <c r="D184" t="s">
        <v>4045</v>
      </c>
      <c r="E184" t="s">
        <v>4046</v>
      </c>
      <c r="F184" t="s">
        <v>3562</v>
      </c>
      <c r="G184" t="s">
        <v>4047</v>
      </c>
    </row>
    <row r="185" customHeight="1" spans="1:7">
      <c r="A185" t="s">
        <v>16</v>
      </c>
      <c r="B185" t="s">
        <v>4043</v>
      </c>
      <c r="C185" t="s">
        <v>4044</v>
      </c>
      <c r="D185" t="s">
        <v>4043</v>
      </c>
      <c r="E185" t="s">
        <v>4044</v>
      </c>
      <c r="F185" t="s">
        <v>3559</v>
      </c>
      <c r="G185" t="s">
        <v>4048</v>
      </c>
    </row>
    <row r="186" customHeight="1" spans="1:7">
      <c r="A186" t="s">
        <v>16</v>
      </c>
      <c r="B186" t="s">
        <v>4043</v>
      </c>
      <c r="C186" t="s">
        <v>4044</v>
      </c>
      <c r="D186" t="s">
        <v>4049</v>
      </c>
      <c r="E186" t="s">
        <v>4050</v>
      </c>
      <c r="F186" t="s">
        <v>3562</v>
      </c>
      <c r="G186" t="s">
        <v>4051</v>
      </c>
    </row>
    <row r="187" customHeight="1" spans="1:7">
      <c r="A187" t="s">
        <v>16</v>
      </c>
      <c r="B187" t="s">
        <v>4043</v>
      </c>
      <c r="C187" t="s">
        <v>4044</v>
      </c>
      <c r="D187" t="s">
        <v>4052</v>
      </c>
      <c r="E187" t="s">
        <v>4053</v>
      </c>
      <c r="F187" t="s">
        <v>3562</v>
      </c>
      <c r="G187" t="s">
        <v>4054</v>
      </c>
    </row>
    <row r="188" customHeight="1" spans="1:7">
      <c r="A188" t="s">
        <v>16</v>
      </c>
      <c r="B188" t="s">
        <v>4043</v>
      </c>
      <c r="C188" t="s">
        <v>4044</v>
      </c>
      <c r="D188" t="s">
        <v>4055</v>
      </c>
      <c r="E188" t="s">
        <v>4056</v>
      </c>
      <c r="F188" t="s">
        <v>3562</v>
      </c>
      <c r="G188" t="s">
        <v>4057</v>
      </c>
    </row>
    <row r="189" customHeight="1" spans="1:7">
      <c r="A189" t="s">
        <v>16</v>
      </c>
      <c r="B189" t="s">
        <v>4043</v>
      </c>
      <c r="C189" t="s">
        <v>4044</v>
      </c>
      <c r="D189" t="s">
        <v>4058</v>
      </c>
      <c r="E189" t="s">
        <v>4059</v>
      </c>
      <c r="F189" t="s">
        <v>3562</v>
      </c>
      <c r="G189" t="s">
        <v>4060</v>
      </c>
    </row>
    <row r="190" customHeight="1" spans="1:7">
      <c r="A190" t="s">
        <v>16</v>
      </c>
      <c r="B190" t="s">
        <v>4043</v>
      </c>
      <c r="C190" t="s">
        <v>4044</v>
      </c>
      <c r="D190" t="s">
        <v>4061</v>
      </c>
      <c r="E190" t="s">
        <v>4062</v>
      </c>
      <c r="F190" t="s">
        <v>3562</v>
      </c>
      <c r="G190" t="s">
        <v>4063</v>
      </c>
    </row>
    <row r="191" customHeight="1" spans="1:7">
      <c r="A191" t="s">
        <v>16</v>
      </c>
      <c r="B191" t="s">
        <v>4043</v>
      </c>
      <c r="C191" t="s">
        <v>4044</v>
      </c>
      <c r="D191" t="s">
        <v>4064</v>
      </c>
      <c r="E191" t="s">
        <v>4065</v>
      </c>
      <c r="F191" t="s">
        <v>3562</v>
      </c>
      <c r="G191" t="s">
        <v>4066</v>
      </c>
    </row>
    <row r="192" customHeight="1" spans="1:7">
      <c r="A192" t="s">
        <v>16</v>
      </c>
      <c r="B192" t="s">
        <v>4043</v>
      </c>
      <c r="C192" t="s">
        <v>4044</v>
      </c>
      <c r="D192" t="s">
        <v>4067</v>
      </c>
      <c r="E192" t="s">
        <v>4068</v>
      </c>
      <c r="F192" t="s">
        <v>3562</v>
      </c>
      <c r="G192" t="s">
        <v>4069</v>
      </c>
    </row>
    <row r="193" customHeight="1" spans="1:7">
      <c r="A193" t="s">
        <v>16</v>
      </c>
      <c r="B193" t="s">
        <v>4043</v>
      </c>
      <c r="C193" t="s">
        <v>4044</v>
      </c>
      <c r="D193" t="s">
        <v>4070</v>
      </c>
      <c r="E193" t="s">
        <v>4071</v>
      </c>
      <c r="F193" t="s">
        <v>3562</v>
      </c>
      <c r="G193" t="s">
        <v>4072</v>
      </c>
    </row>
    <row r="194" customHeight="1" spans="1:7">
      <c r="A194" t="s">
        <v>16</v>
      </c>
      <c r="B194" t="s">
        <v>4043</v>
      </c>
      <c r="C194" t="s">
        <v>4044</v>
      </c>
      <c r="D194" t="s">
        <v>4073</v>
      </c>
      <c r="E194" t="s">
        <v>4074</v>
      </c>
      <c r="F194" t="s">
        <v>3562</v>
      </c>
      <c r="G194" t="s">
        <v>4075</v>
      </c>
    </row>
    <row r="195" customHeight="1" spans="1:7">
      <c r="A195" t="s">
        <v>16</v>
      </c>
      <c r="B195" t="s">
        <v>4043</v>
      </c>
      <c r="C195" t="s">
        <v>4044</v>
      </c>
      <c r="D195" t="s">
        <v>4076</v>
      </c>
      <c r="E195" t="s">
        <v>4077</v>
      </c>
      <c r="F195" t="s">
        <v>3562</v>
      </c>
      <c r="G195" t="s">
        <v>4078</v>
      </c>
    </row>
    <row r="196" customHeight="1" spans="1:7">
      <c r="A196" t="s">
        <v>16</v>
      </c>
      <c r="B196" t="s">
        <v>4043</v>
      </c>
      <c r="C196" t="s">
        <v>4044</v>
      </c>
      <c r="D196" t="s">
        <v>4079</v>
      </c>
      <c r="E196" t="s">
        <v>4080</v>
      </c>
      <c r="F196" t="s">
        <v>3562</v>
      </c>
      <c r="G196" t="s">
        <v>4081</v>
      </c>
    </row>
    <row r="197" customHeight="1" spans="1:7">
      <c r="A197" t="s">
        <v>16</v>
      </c>
      <c r="B197" t="s">
        <v>4043</v>
      </c>
      <c r="C197" t="s">
        <v>4044</v>
      </c>
      <c r="D197" t="s">
        <v>4082</v>
      </c>
      <c r="E197" t="s">
        <v>4083</v>
      </c>
      <c r="F197" t="s">
        <v>3562</v>
      </c>
      <c r="G197" t="s">
        <v>4084</v>
      </c>
    </row>
    <row r="198" customHeight="1" spans="1:7">
      <c r="A198" t="s">
        <v>16</v>
      </c>
      <c r="B198" t="s">
        <v>4043</v>
      </c>
      <c r="C198" t="s">
        <v>4044</v>
      </c>
      <c r="D198" t="s">
        <v>4085</v>
      </c>
      <c r="E198" t="s">
        <v>4086</v>
      </c>
      <c r="F198" t="s">
        <v>3562</v>
      </c>
      <c r="G198" t="s">
        <v>4087</v>
      </c>
    </row>
    <row r="199" customHeight="1" spans="1:7">
      <c r="A199" t="s">
        <v>16</v>
      </c>
      <c r="B199" t="s">
        <v>4043</v>
      </c>
      <c r="C199" t="s">
        <v>4044</v>
      </c>
      <c r="D199" t="s">
        <v>4088</v>
      </c>
      <c r="E199" t="s">
        <v>4089</v>
      </c>
      <c r="F199" t="s">
        <v>3562</v>
      </c>
      <c r="G199" t="s">
        <v>4090</v>
      </c>
    </row>
    <row r="200" customHeight="1" spans="1:7">
      <c r="A200" t="s">
        <v>16</v>
      </c>
      <c r="B200" t="s">
        <v>4043</v>
      </c>
      <c r="C200" t="s">
        <v>4044</v>
      </c>
      <c r="D200" t="s">
        <v>4091</v>
      </c>
      <c r="E200" t="s">
        <v>4092</v>
      </c>
      <c r="F200" t="s">
        <v>3562</v>
      </c>
      <c r="G200" t="s">
        <v>4093</v>
      </c>
    </row>
    <row r="201" customHeight="1" spans="1:7">
      <c r="A201" t="s">
        <v>16</v>
      </c>
      <c r="B201" t="s">
        <v>4043</v>
      </c>
      <c r="C201" t="s">
        <v>4044</v>
      </c>
      <c r="D201" t="s">
        <v>4094</v>
      </c>
      <c r="E201" t="s">
        <v>4095</v>
      </c>
      <c r="F201" t="s">
        <v>3562</v>
      </c>
      <c r="G201" t="s">
        <v>4096</v>
      </c>
    </row>
    <row r="202" customHeight="1" spans="1:7">
      <c r="A202" t="s">
        <v>16</v>
      </c>
      <c r="B202" t="s">
        <v>4043</v>
      </c>
      <c r="C202" t="s">
        <v>4044</v>
      </c>
      <c r="D202" t="s">
        <v>4097</v>
      </c>
      <c r="E202" t="s">
        <v>4098</v>
      </c>
      <c r="F202" t="s">
        <v>3562</v>
      </c>
      <c r="G202" t="s">
        <v>4099</v>
      </c>
    </row>
    <row r="203" customHeight="1" spans="1:7">
      <c r="A203" t="s">
        <v>16</v>
      </c>
      <c r="B203" t="s">
        <v>4043</v>
      </c>
      <c r="C203" t="s">
        <v>4044</v>
      </c>
      <c r="D203" t="s">
        <v>4100</v>
      </c>
      <c r="E203" t="s">
        <v>4101</v>
      </c>
      <c r="F203" t="s">
        <v>3562</v>
      </c>
      <c r="G203" t="s">
        <v>4102</v>
      </c>
    </row>
    <row r="204" customHeight="1" spans="1:7">
      <c r="A204" t="s">
        <v>16</v>
      </c>
      <c r="B204" t="s">
        <v>4043</v>
      </c>
      <c r="C204" t="s">
        <v>4044</v>
      </c>
      <c r="D204" t="s">
        <v>4103</v>
      </c>
      <c r="E204" t="s">
        <v>4104</v>
      </c>
      <c r="F204" t="s">
        <v>3562</v>
      </c>
      <c r="G204" t="s">
        <v>4105</v>
      </c>
    </row>
    <row r="205" customHeight="1" spans="1:7">
      <c r="A205" t="s">
        <v>16</v>
      </c>
      <c r="B205" t="s">
        <v>4043</v>
      </c>
      <c r="C205" t="s">
        <v>4044</v>
      </c>
      <c r="D205" t="s">
        <v>4106</v>
      </c>
      <c r="E205" t="s">
        <v>4107</v>
      </c>
      <c r="F205" t="s">
        <v>3562</v>
      </c>
      <c r="G205" t="s">
        <v>4108</v>
      </c>
    </row>
    <row r="206" customHeight="1" spans="1:7">
      <c r="A206" t="s">
        <v>16</v>
      </c>
      <c r="B206" t="s">
        <v>4043</v>
      </c>
      <c r="C206" t="s">
        <v>4044</v>
      </c>
      <c r="D206" t="s">
        <v>4109</v>
      </c>
      <c r="E206" t="s">
        <v>4110</v>
      </c>
      <c r="F206" t="s">
        <v>3664</v>
      </c>
      <c r="G206" t="s">
        <v>4111</v>
      </c>
    </row>
    <row r="207" customHeight="1" spans="1:7">
      <c r="A207" t="s">
        <v>16</v>
      </c>
      <c r="B207" t="s">
        <v>4112</v>
      </c>
      <c r="C207" t="s">
        <v>4113</v>
      </c>
      <c r="D207" t="s">
        <v>4114</v>
      </c>
      <c r="E207" t="s">
        <v>4115</v>
      </c>
      <c r="F207" t="s">
        <v>3562</v>
      </c>
      <c r="G207" t="s">
        <v>4116</v>
      </c>
    </row>
    <row r="208" customHeight="1" spans="1:7">
      <c r="A208" t="s">
        <v>16</v>
      </c>
      <c r="B208" t="s">
        <v>4112</v>
      </c>
      <c r="C208" t="s">
        <v>4113</v>
      </c>
      <c r="D208" t="s">
        <v>4112</v>
      </c>
      <c r="E208" t="s">
        <v>4113</v>
      </c>
      <c r="F208" t="s">
        <v>3559</v>
      </c>
      <c r="G208" t="s">
        <v>4117</v>
      </c>
    </row>
    <row r="209" customHeight="1" spans="1:7">
      <c r="A209" t="s">
        <v>16</v>
      </c>
      <c r="B209" t="s">
        <v>4112</v>
      </c>
      <c r="C209" t="s">
        <v>4113</v>
      </c>
      <c r="D209" t="s">
        <v>4118</v>
      </c>
      <c r="E209" t="s">
        <v>4119</v>
      </c>
      <c r="F209" t="s">
        <v>3664</v>
      </c>
      <c r="G209" t="s">
        <v>4120</v>
      </c>
    </row>
    <row r="210" customHeight="1" spans="1:7">
      <c r="A210" t="s">
        <v>16</v>
      </c>
      <c r="B210" t="s">
        <v>4112</v>
      </c>
      <c r="C210" t="s">
        <v>4113</v>
      </c>
      <c r="D210" t="s">
        <v>4121</v>
      </c>
      <c r="E210" t="s">
        <v>4122</v>
      </c>
      <c r="F210" t="s">
        <v>3562</v>
      </c>
      <c r="G210" t="s">
        <v>4123</v>
      </c>
    </row>
    <row r="211" customHeight="1" spans="1:7">
      <c r="A211" t="s">
        <v>16</v>
      </c>
      <c r="B211" t="s">
        <v>4112</v>
      </c>
      <c r="C211" t="s">
        <v>4113</v>
      </c>
      <c r="D211" t="s">
        <v>4124</v>
      </c>
      <c r="E211" t="s">
        <v>4125</v>
      </c>
      <c r="F211" t="s">
        <v>3562</v>
      </c>
      <c r="G211" t="s">
        <v>4126</v>
      </c>
    </row>
    <row r="212" customHeight="1" spans="1:7">
      <c r="A212" t="s">
        <v>16</v>
      </c>
      <c r="B212" t="s">
        <v>4112</v>
      </c>
      <c r="C212" t="s">
        <v>4113</v>
      </c>
      <c r="D212" t="s">
        <v>4127</v>
      </c>
      <c r="E212" t="s">
        <v>4128</v>
      </c>
      <c r="F212" t="s">
        <v>3562</v>
      </c>
      <c r="G212" t="s">
        <v>4129</v>
      </c>
    </row>
    <row r="213" customHeight="1" spans="1:7">
      <c r="A213" t="s">
        <v>16</v>
      </c>
      <c r="B213" t="s">
        <v>4112</v>
      </c>
      <c r="C213" t="s">
        <v>4113</v>
      </c>
      <c r="D213" t="s">
        <v>4130</v>
      </c>
      <c r="E213" t="s">
        <v>4131</v>
      </c>
      <c r="F213" t="s">
        <v>3562</v>
      </c>
      <c r="G213" t="s">
        <v>4132</v>
      </c>
    </row>
    <row r="214" customHeight="1" spans="1:7">
      <c r="A214" t="s">
        <v>16</v>
      </c>
      <c r="B214" t="s">
        <v>4112</v>
      </c>
      <c r="C214" t="s">
        <v>4113</v>
      </c>
      <c r="D214" t="s">
        <v>4133</v>
      </c>
      <c r="E214" t="s">
        <v>4134</v>
      </c>
      <c r="F214" t="s">
        <v>3562</v>
      </c>
      <c r="G214" t="s">
        <v>4135</v>
      </c>
    </row>
    <row r="215" customHeight="1" spans="1:7">
      <c r="A215" t="s">
        <v>16</v>
      </c>
      <c r="B215" t="s">
        <v>4112</v>
      </c>
      <c r="C215" t="s">
        <v>4113</v>
      </c>
      <c r="D215" t="s">
        <v>4136</v>
      </c>
      <c r="E215" t="s">
        <v>4137</v>
      </c>
      <c r="F215" t="s">
        <v>3562</v>
      </c>
      <c r="G215" t="s">
        <v>4138</v>
      </c>
    </row>
    <row r="216" customHeight="1" spans="1:7">
      <c r="A216" t="s">
        <v>16</v>
      </c>
      <c r="B216" t="s">
        <v>4112</v>
      </c>
      <c r="C216" t="s">
        <v>4113</v>
      </c>
      <c r="D216" t="s">
        <v>4139</v>
      </c>
      <c r="E216" t="s">
        <v>4140</v>
      </c>
      <c r="F216" t="s">
        <v>3562</v>
      </c>
      <c r="G216" t="s">
        <v>4141</v>
      </c>
    </row>
    <row r="217" customHeight="1" spans="1:7">
      <c r="A217" t="s">
        <v>16</v>
      </c>
      <c r="B217" t="s">
        <v>4112</v>
      </c>
      <c r="C217" t="s">
        <v>4113</v>
      </c>
      <c r="D217" t="s">
        <v>4142</v>
      </c>
      <c r="E217" t="s">
        <v>4143</v>
      </c>
      <c r="F217" t="s">
        <v>3562</v>
      </c>
      <c r="G217" t="s">
        <v>4144</v>
      </c>
    </row>
    <row r="218" customHeight="1" spans="1:7">
      <c r="A218" t="s">
        <v>16</v>
      </c>
      <c r="B218" t="s">
        <v>4112</v>
      </c>
      <c r="C218" t="s">
        <v>4113</v>
      </c>
      <c r="D218" t="s">
        <v>4145</v>
      </c>
      <c r="E218" t="s">
        <v>4146</v>
      </c>
      <c r="F218" t="s">
        <v>3562</v>
      </c>
      <c r="G218" t="s">
        <v>4147</v>
      </c>
    </row>
    <row r="219" customHeight="1" spans="1:7">
      <c r="A219" t="s">
        <v>16</v>
      </c>
      <c r="B219" t="s">
        <v>4112</v>
      </c>
      <c r="C219" t="s">
        <v>4113</v>
      </c>
      <c r="D219" t="s">
        <v>4148</v>
      </c>
      <c r="E219" t="s">
        <v>4149</v>
      </c>
      <c r="F219" t="s">
        <v>3562</v>
      </c>
      <c r="G219" t="s">
        <v>4150</v>
      </c>
    </row>
    <row r="220" customHeight="1" spans="1:7">
      <c r="A220" t="s">
        <v>16</v>
      </c>
      <c r="B220" t="s">
        <v>4112</v>
      </c>
      <c r="C220" t="s">
        <v>4113</v>
      </c>
      <c r="D220" t="s">
        <v>4151</v>
      </c>
      <c r="E220" t="s">
        <v>4152</v>
      </c>
      <c r="F220" t="s">
        <v>3562</v>
      </c>
      <c r="G220" t="s">
        <v>4153</v>
      </c>
    </row>
    <row r="221" customHeight="1" spans="1:7">
      <c r="A221" t="s">
        <v>16</v>
      </c>
      <c r="B221" t="s">
        <v>4112</v>
      </c>
      <c r="C221" t="s">
        <v>4113</v>
      </c>
      <c r="D221" t="s">
        <v>4154</v>
      </c>
      <c r="E221" t="s">
        <v>4155</v>
      </c>
      <c r="F221" t="s">
        <v>3562</v>
      </c>
      <c r="G221" t="s">
        <v>4156</v>
      </c>
    </row>
    <row r="222" customHeight="1" spans="1:7">
      <c r="A222" t="s">
        <v>16</v>
      </c>
      <c r="B222" t="s">
        <v>4112</v>
      </c>
      <c r="C222" t="s">
        <v>4113</v>
      </c>
      <c r="D222" t="s">
        <v>4157</v>
      </c>
      <c r="E222" t="s">
        <v>4158</v>
      </c>
      <c r="F222" t="s">
        <v>3562</v>
      </c>
      <c r="G222" t="s">
        <v>4159</v>
      </c>
    </row>
    <row r="223" customHeight="1" spans="1:7">
      <c r="A223" t="s">
        <v>16</v>
      </c>
      <c r="B223" t="s">
        <v>4112</v>
      </c>
      <c r="C223" t="s">
        <v>4113</v>
      </c>
      <c r="D223" t="s">
        <v>4160</v>
      </c>
      <c r="E223" t="s">
        <v>4161</v>
      </c>
      <c r="F223" t="s">
        <v>3562</v>
      </c>
      <c r="G223" t="s">
        <v>4162</v>
      </c>
    </row>
    <row r="224" customHeight="1" spans="1:7">
      <c r="A224" t="s">
        <v>16</v>
      </c>
      <c r="B224" t="s">
        <v>4112</v>
      </c>
      <c r="C224" t="s">
        <v>4113</v>
      </c>
      <c r="D224" t="s">
        <v>4163</v>
      </c>
      <c r="E224" t="s">
        <v>4164</v>
      </c>
      <c r="F224" t="s">
        <v>3562</v>
      </c>
      <c r="G224" t="s">
        <v>4165</v>
      </c>
    </row>
    <row r="225" customHeight="1" spans="1:7">
      <c r="A225" t="s">
        <v>16</v>
      </c>
      <c r="B225" t="s">
        <v>4166</v>
      </c>
      <c r="C225" t="s">
        <v>4167</v>
      </c>
      <c r="D225" t="s">
        <v>4166</v>
      </c>
      <c r="E225" t="s">
        <v>4167</v>
      </c>
      <c r="F225" t="s">
        <v>3559</v>
      </c>
      <c r="G225" t="s">
        <v>4168</v>
      </c>
    </row>
    <row r="226" customHeight="1" spans="1:7">
      <c r="A226" t="s">
        <v>16</v>
      </c>
      <c r="B226" t="s">
        <v>4166</v>
      </c>
      <c r="C226" t="s">
        <v>4167</v>
      </c>
      <c r="D226" t="s">
        <v>4169</v>
      </c>
      <c r="E226" t="s">
        <v>4170</v>
      </c>
      <c r="F226" t="s">
        <v>3562</v>
      </c>
      <c r="G226" t="s">
        <v>4171</v>
      </c>
    </row>
    <row r="227" customHeight="1" spans="1:7">
      <c r="A227" t="s">
        <v>16</v>
      </c>
      <c r="B227" t="s">
        <v>4166</v>
      </c>
      <c r="C227" t="s">
        <v>4167</v>
      </c>
      <c r="D227" t="s">
        <v>4172</v>
      </c>
      <c r="E227" t="s">
        <v>4173</v>
      </c>
      <c r="F227" t="s">
        <v>3562</v>
      </c>
      <c r="G227" t="s">
        <v>4174</v>
      </c>
    </row>
    <row r="228" customHeight="1" spans="1:7">
      <c r="A228" t="s">
        <v>16</v>
      </c>
      <c r="B228" t="s">
        <v>4166</v>
      </c>
      <c r="C228" t="s">
        <v>4167</v>
      </c>
      <c r="D228" t="s">
        <v>4175</v>
      </c>
      <c r="E228" t="s">
        <v>4176</v>
      </c>
      <c r="F228" t="s">
        <v>3562</v>
      </c>
      <c r="G228" t="s">
        <v>4177</v>
      </c>
    </row>
    <row r="229" customHeight="1" spans="1:7">
      <c r="A229" t="s">
        <v>16</v>
      </c>
      <c r="B229" t="s">
        <v>4166</v>
      </c>
      <c r="C229" t="s">
        <v>4167</v>
      </c>
      <c r="D229" t="s">
        <v>4178</v>
      </c>
      <c r="E229" t="s">
        <v>4179</v>
      </c>
      <c r="F229" t="s">
        <v>3562</v>
      </c>
      <c r="G229" t="s">
        <v>4180</v>
      </c>
    </row>
    <row r="230" customHeight="1" spans="1:7">
      <c r="A230" t="s">
        <v>16</v>
      </c>
      <c r="B230" t="s">
        <v>4166</v>
      </c>
      <c r="C230" t="s">
        <v>4167</v>
      </c>
      <c r="D230" t="s">
        <v>4181</v>
      </c>
      <c r="E230" t="s">
        <v>4182</v>
      </c>
      <c r="F230" t="s">
        <v>3562</v>
      </c>
      <c r="G230" t="s">
        <v>4183</v>
      </c>
    </row>
    <row r="231" customHeight="1" spans="1:7">
      <c r="A231" t="s">
        <v>16</v>
      </c>
      <c r="B231" t="s">
        <v>4166</v>
      </c>
      <c r="C231" t="s">
        <v>4167</v>
      </c>
      <c r="D231" t="s">
        <v>4184</v>
      </c>
      <c r="E231" t="s">
        <v>4185</v>
      </c>
      <c r="F231" t="s">
        <v>3562</v>
      </c>
      <c r="G231" t="s">
        <v>4186</v>
      </c>
    </row>
    <row r="232" customHeight="1" spans="1:7">
      <c r="A232" t="s">
        <v>16</v>
      </c>
      <c r="B232" t="s">
        <v>4166</v>
      </c>
      <c r="C232" t="s">
        <v>4167</v>
      </c>
      <c r="D232" t="s">
        <v>4187</v>
      </c>
      <c r="E232" t="s">
        <v>4188</v>
      </c>
      <c r="F232" t="s">
        <v>3562</v>
      </c>
      <c r="G232" t="s">
        <v>4189</v>
      </c>
    </row>
    <row r="233" customHeight="1" spans="1:7">
      <c r="A233" t="s">
        <v>16</v>
      </c>
      <c r="B233" t="s">
        <v>4166</v>
      </c>
      <c r="C233" t="s">
        <v>4167</v>
      </c>
      <c r="D233" t="s">
        <v>4190</v>
      </c>
      <c r="E233" t="s">
        <v>4191</v>
      </c>
      <c r="F233" t="s">
        <v>3562</v>
      </c>
      <c r="G233" t="s">
        <v>4192</v>
      </c>
    </row>
    <row r="234" customHeight="1" spans="1:7">
      <c r="A234" t="s">
        <v>16</v>
      </c>
      <c r="B234" t="s">
        <v>4166</v>
      </c>
      <c r="C234" t="s">
        <v>4167</v>
      </c>
      <c r="D234" t="s">
        <v>4193</v>
      </c>
      <c r="E234" t="s">
        <v>4194</v>
      </c>
      <c r="F234" t="s">
        <v>3562</v>
      </c>
      <c r="G234" t="s">
        <v>4195</v>
      </c>
    </row>
    <row r="235" customHeight="1" spans="1:7">
      <c r="A235" t="s">
        <v>16</v>
      </c>
      <c r="B235" t="s">
        <v>4166</v>
      </c>
      <c r="C235" t="s">
        <v>4167</v>
      </c>
      <c r="D235" t="s">
        <v>4196</v>
      </c>
      <c r="E235" t="s">
        <v>4197</v>
      </c>
      <c r="F235" t="s">
        <v>3562</v>
      </c>
      <c r="G235" t="s">
        <v>4198</v>
      </c>
    </row>
    <row r="236" customHeight="1" spans="1:7">
      <c r="A236" t="s">
        <v>16</v>
      </c>
      <c r="B236" t="s">
        <v>4166</v>
      </c>
      <c r="C236" t="s">
        <v>4167</v>
      </c>
      <c r="D236" t="s">
        <v>4199</v>
      </c>
      <c r="E236" t="s">
        <v>4200</v>
      </c>
      <c r="F236" t="s">
        <v>3562</v>
      </c>
      <c r="G236" t="s">
        <v>4201</v>
      </c>
    </row>
    <row r="237" customHeight="1" spans="1:7">
      <c r="A237" t="s">
        <v>16</v>
      </c>
      <c r="B237" t="s">
        <v>4166</v>
      </c>
      <c r="C237" t="s">
        <v>4167</v>
      </c>
      <c r="D237" t="s">
        <v>4202</v>
      </c>
      <c r="E237" t="s">
        <v>4203</v>
      </c>
      <c r="F237" t="s">
        <v>3562</v>
      </c>
      <c r="G237" t="s">
        <v>4204</v>
      </c>
    </row>
    <row r="238" customHeight="1" spans="1:7">
      <c r="A238" t="s">
        <v>16</v>
      </c>
      <c r="B238" t="s">
        <v>4205</v>
      </c>
      <c r="C238" t="s">
        <v>4206</v>
      </c>
      <c r="D238" t="s">
        <v>4207</v>
      </c>
      <c r="E238" t="s">
        <v>4208</v>
      </c>
      <c r="F238" t="s">
        <v>3562</v>
      </c>
      <c r="G238" t="s">
        <v>4209</v>
      </c>
    </row>
    <row r="239" customHeight="1" spans="1:7">
      <c r="A239" t="s">
        <v>16</v>
      </c>
      <c r="B239" t="s">
        <v>4205</v>
      </c>
      <c r="C239" t="s">
        <v>4206</v>
      </c>
      <c r="D239" t="s">
        <v>4205</v>
      </c>
      <c r="E239" t="s">
        <v>4206</v>
      </c>
      <c r="F239" t="s">
        <v>3559</v>
      </c>
      <c r="G239" t="s">
        <v>4210</v>
      </c>
    </row>
    <row r="240" customHeight="1" spans="1:7">
      <c r="A240" t="s">
        <v>16</v>
      </c>
      <c r="B240" t="s">
        <v>4205</v>
      </c>
      <c r="C240" t="s">
        <v>4206</v>
      </c>
      <c r="D240" t="s">
        <v>4211</v>
      </c>
      <c r="E240" t="s">
        <v>4212</v>
      </c>
      <c r="F240" t="s">
        <v>3567</v>
      </c>
      <c r="G240" t="s">
        <v>4213</v>
      </c>
    </row>
    <row r="241" customHeight="1" spans="1:7">
      <c r="A241" t="s">
        <v>16</v>
      </c>
      <c r="B241" t="s">
        <v>4205</v>
      </c>
      <c r="C241" t="s">
        <v>4206</v>
      </c>
      <c r="D241" t="s">
        <v>4214</v>
      </c>
      <c r="E241" t="s">
        <v>4215</v>
      </c>
      <c r="F241" t="s">
        <v>3562</v>
      </c>
      <c r="G241" t="s">
        <v>4216</v>
      </c>
    </row>
    <row r="242" customHeight="1" spans="1:7">
      <c r="A242" t="s">
        <v>16</v>
      </c>
      <c r="B242" t="s">
        <v>4205</v>
      </c>
      <c r="C242" t="s">
        <v>4206</v>
      </c>
      <c r="D242" t="s">
        <v>4217</v>
      </c>
      <c r="E242" t="s">
        <v>4218</v>
      </c>
      <c r="F242" t="s">
        <v>3562</v>
      </c>
      <c r="G242" t="s">
        <v>4219</v>
      </c>
    </row>
    <row r="243" customHeight="1" spans="1:7">
      <c r="A243" t="s">
        <v>16</v>
      </c>
      <c r="B243" t="s">
        <v>4205</v>
      </c>
      <c r="C243" t="s">
        <v>4206</v>
      </c>
      <c r="D243" t="s">
        <v>4220</v>
      </c>
      <c r="E243" t="s">
        <v>4221</v>
      </c>
      <c r="F243" t="s">
        <v>3562</v>
      </c>
      <c r="G243" t="s">
        <v>4222</v>
      </c>
    </row>
    <row r="244" customHeight="1" spans="1:7">
      <c r="A244" t="s">
        <v>16</v>
      </c>
      <c r="B244" t="s">
        <v>4205</v>
      </c>
      <c r="C244" t="s">
        <v>4206</v>
      </c>
      <c r="D244" t="s">
        <v>4223</v>
      </c>
      <c r="E244" t="s">
        <v>4224</v>
      </c>
      <c r="F244" t="s">
        <v>3562</v>
      </c>
      <c r="G244" t="s">
        <v>4225</v>
      </c>
    </row>
    <row r="245" customHeight="1" spans="1:7">
      <c r="A245" t="s">
        <v>16</v>
      </c>
      <c r="B245" t="s">
        <v>4205</v>
      </c>
      <c r="C245" t="s">
        <v>4206</v>
      </c>
      <c r="D245" t="s">
        <v>4226</v>
      </c>
      <c r="E245" t="s">
        <v>4227</v>
      </c>
      <c r="F245" t="s">
        <v>3562</v>
      </c>
      <c r="G245" t="s">
        <v>4228</v>
      </c>
    </row>
    <row r="246" customHeight="1" spans="1:7">
      <c r="A246" t="s">
        <v>16</v>
      </c>
      <c r="B246" t="s">
        <v>4205</v>
      </c>
      <c r="C246" t="s">
        <v>4206</v>
      </c>
      <c r="D246" t="s">
        <v>4229</v>
      </c>
      <c r="E246" t="s">
        <v>4230</v>
      </c>
      <c r="F246" t="s">
        <v>3562</v>
      </c>
      <c r="G246" t="s">
        <v>4231</v>
      </c>
    </row>
    <row r="247" customHeight="1" spans="1:7">
      <c r="A247" t="s">
        <v>16</v>
      </c>
      <c r="B247" t="s">
        <v>4205</v>
      </c>
      <c r="C247" t="s">
        <v>4206</v>
      </c>
      <c r="D247" t="s">
        <v>4232</v>
      </c>
      <c r="E247" t="s">
        <v>4233</v>
      </c>
      <c r="F247" t="s">
        <v>3562</v>
      </c>
      <c r="G247" t="s">
        <v>4234</v>
      </c>
    </row>
    <row r="248" customHeight="1" spans="1:7">
      <c r="A248" t="s">
        <v>16</v>
      </c>
      <c r="B248" t="s">
        <v>4205</v>
      </c>
      <c r="C248" t="s">
        <v>4206</v>
      </c>
      <c r="D248" t="s">
        <v>4235</v>
      </c>
      <c r="E248" t="s">
        <v>4236</v>
      </c>
      <c r="F248" t="s">
        <v>3562</v>
      </c>
      <c r="G248" t="s">
        <v>4237</v>
      </c>
    </row>
    <row r="249" customHeight="1" spans="1:7">
      <c r="A249" t="s">
        <v>16</v>
      </c>
      <c r="B249" t="s">
        <v>4205</v>
      </c>
      <c r="C249" t="s">
        <v>4206</v>
      </c>
      <c r="D249" t="s">
        <v>4238</v>
      </c>
      <c r="E249" t="s">
        <v>4239</v>
      </c>
      <c r="F249" t="s">
        <v>3562</v>
      </c>
      <c r="G249" t="s">
        <v>4240</v>
      </c>
    </row>
    <row r="250" customHeight="1" spans="1:7">
      <c r="A250" t="s">
        <v>16</v>
      </c>
      <c r="B250" t="s">
        <v>4205</v>
      </c>
      <c r="C250" t="s">
        <v>4206</v>
      </c>
      <c r="D250" t="s">
        <v>4241</v>
      </c>
      <c r="E250" t="s">
        <v>4242</v>
      </c>
      <c r="F250" t="s">
        <v>3562</v>
      </c>
      <c r="G250" t="s">
        <v>4243</v>
      </c>
    </row>
    <row r="251" customHeight="1" spans="1:7">
      <c r="A251" t="s">
        <v>16</v>
      </c>
      <c r="B251" t="s">
        <v>4205</v>
      </c>
      <c r="C251" t="s">
        <v>4206</v>
      </c>
      <c r="D251" t="s">
        <v>4244</v>
      </c>
      <c r="E251" t="s">
        <v>4245</v>
      </c>
      <c r="F251" t="s">
        <v>3562</v>
      </c>
      <c r="G251" t="s">
        <v>4246</v>
      </c>
    </row>
    <row r="252" customHeight="1" spans="1:7">
      <c r="A252" t="s">
        <v>16</v>
      </c>
      <c r="B252" t="s">
        <v>4205</v>
      </c>
      <c r="C252" t="s">
        <v>4206</v>
      </c>
      <c r="D252" t="s">
        <v>4247</v>
      </c>
      <c r="E252" t="s">
        <v>4248</v>
      </c>
      <c r="F252" t="s">
        <v>3562</v>
      </c>
      <c r="G252" t="s">
        <v>4249</v>
      </c>
    </row>
    <row r="253" customHeight="1" spans="1:7">
      <c r="A253" t="s">
        <v>16</v>
      </c>
      <c r="B253" t="s">
        <v>4250</v>
      </c>
      <c r="C253" t="s">
        <v>4251</v>
      </c>
      <c r="D253" t="s">
        <v>4250</v>
      </c>
      <c r="E253" t="s">
        <v>4251</v>
      </c>
      <c r="F253" t="s">
        <v>3559</v>
      </c>
      <c r="G253" t="s">
        <v>4252</v>
      </c>
    </row>
    <row r="254" customHeight="1" spans="1:7">
      <c r="A254" t="s">
        <v>16</v>
      </c>
      <c r="B254" t="s">
        <v>4250</v>
      </c>
      <c r="C254" t="s">
        <v>4251</v>
      </c>
      <c r="D254" t="s">
        <v>4253</v>
      </c>
      <c r="E254" t="s">
        <v>4254</v>
      </c>
      <c r="F254" t="s">
        <v>3562</v>
      </c>
      <c r="G254" t="s">
        <v>4255</v>
      </c>
    </row>
    <row r="255" customHeight="1" spans="1:7">
      <c r="A255" t="s">
        <v>16</v>
      </c>
      <c r="B255" t="s">
        <v>4250</v>
      </c>
      <c r="C255" t="s">
        <v>4251</v>
      </c>
      <c r="D255" t="s">
        <v>4256</v>
      </c>
      <c r="E255" t="s">
        <v>4257</v>
      </c>
      <c r="F255" t="s">
        <v>3562</v>
      </c>
      <c r="G255" t="s">
        <v>4258</v>
      </c>
    </row>
    <row r="256" customHeight="1" spans="1:7">
      <c r="A256" t="s">
        <v>16</v>
      </c>
      <c r="B256" t="s">
        <v>4250</v>
      </c>
      <c r="C256" t="s">
        <v>4251</v>
      </c>
      <c r="D256" t="s">
        <v>4259</v>
      </c>
      <c r="E256" t="s">
        <v>4260</v>
      </c>
      <c r="F256" t="s">
        <v>3562</v>
      </c>
      <c r="G256" t="s">
        <v>4261</v>
      </c>
    </row>
    <row r="257" customHeight="1" spans="1:7">
      <c r="A257" t="s">
        <v>16</v>
      </c>
      <c r="B257" t="s">
        <v>4250</v>
      </c>
      <c r="C257" t="s">
        <v>4251</v>
      </c>
      <c r="D257" t="s">
        <v>4262</v>
      </c>
      <c r="E257" t="s">
        <v>4263</v>
      </c>
      <c r="F257" t="s">
        <v>3562</v>
      </c>
      <c r="G257" t="s">
        <v>4264</v>
      </c>
    </row>
    <row r="258" customHeight="1" spans="1:7">
      <c r="A258" t="s">
        <v>16</v>
      </c>
      <c r="B258" t="s">
        <v>4250</v>
      </c>
      <c r="C258" t="s">
        <v>4251</v>
      </c>
      <c r="D258" t="s">
        <v>4265</v>
      </c>
      <c r="E258" t="s">
        <v>4266</v>
      </c>
      <c r="F258" t="s">
        <v>3562</v>
      </c>
      <c r="G258" t="s">
        <v>4267</v>
      </c>
    </row>
    <row r="259" customHeight="1" spans="1:7">
      <c r="A259" t="s">
        <v>16</v>
      </c>
      <c r="B259" t="s">
        <v>4250</v>
      </c>
      <c r="C259" t="s">
        <v>4251</v>
      </c>
      <c r="D259" t="s">
        <v>4268</v>
      </c>
      <c r="E259" t="s">
        <v>4269</v>
      </c>
      <c r="F259" t="s">
        <v>3562</v>
      </c>
      <c r="G259" t="s">
        <v>4270</v>
      </c>
    </row>
    <row r="260" customHeight="1" spans="1:7">
      <c r="A260" t="s">
        <v>16</v>
      </c>
      <c r="B260" t="s">
        <v>4250</v>
      </c>
      <c r="C260" t="s">
        <v>4251</v>
      </c>
      <c r="D260" t="s">
        <v>4271</v>
      </c>
      <c r="E260" t="s">
        <v>4272</v>
      </c>
      <c r="F260" t="s">
        <v>3562</v>
      </c>
      <c r="G260" t="s">
        <v>4273</v>
      </c>
    </row>
    <row r="261" customHeight="1" spans="1:7">
      <c r="A261" t="s">
        <v>16</v>
      </c>
      <c r="B261" t="s">
        <v>4250</v>
      </c>
      <c r="C261" t="s">
        <v>4251</v>
      </c>
      <c r="D261" t="s">
        <v>4274</v>
      </c>
      <c r="E261" t="s">
        <v>4275</v>
      </c>
      <c r="F261" t="s">
        <v>3562</v>
      </c>
      <c r="G261" t="s">
        <v>4276</v>
      </c>
    </row>
    <row r="262" customHeight="1" spans="1:7">
      <c r="A262" t="s">
        <v>16</v>
      </c>
      <c r="B262" t="s">
        <v>4250</v>
      </c>
      <c r="C262" t="s">
        <v>4251</v>
      </c>
      <c r="D262" t="s">
        <v>4277</v>
      </c>
      <c r="E262" t="s">
        <v>4278</v>
      </c>
      <c r="F262" t="s">
        <v>3562</v>
      </c>
      <c r="G262" t="s">
        <v>4279</v>
      </c>
    </row>
    <row r="263" customHeight="1" spans="1:7">
      <c r="A263" t="s">
        <v>16</v>
      </c>
      <c r="B263" t="s">
        <v>4250</v>
      </c>
      <c r="C263" t="s">
        <v>4251</v>
      </c>
      <c r="D263" t="s">
        <v>4280</v>
      </c>
      <c r="E263" t="s">
        <v>4281</v>
      </c>
      <c r="F263" t="s">
        <v>3562</v>
      </c>
      <c r="G263" t="s">
        <v>4282</v>
      </c>
    </row>
    <row r="264" customHeight="1" spans="1:7">
      <c r="A264" t="s">
        <v>16</v>
      </c>
      <c r="B264" t="s">
        <v>4250</v>
      </c>
      <c r="C264" t="s">
        <v>4251</v>
      </c>
      <c r="D264" t="s">
        <v>4283</v>
      </c>
      <c r="E264" t="s">
        <v>4284</v>
      </c>
      <c r="F264" t="s">
        <v>3562</v>
      </c>
      <c r="G264" t="s">
        <v>4285</v>
      </c>
    </row>
    <row r="265" customHeight="1" spans="1:7">
      <c r="A265" t="s">
        <v>16</v>
      </c>
      <c r="B265" t="s">
        <v>4250</v>
      </c>
      <c r="C265" t="s">
        <v>4251</v>
      </c>
      <c r="D265" t="s">
        <v>4286</v>
      </c>
      <c r="E265" t="s">
        <v>4287</v>
      </c>
      <c r="F265" t="s">
        <v>3562</v>
      </c>
      <c r="G265" t="s">
        <v>4288</v>
      </c>
    </row>
    <row r="266" customHeight="1" spans="1:7">
      <c r="A266" t="s">
        <v>16</v>
      </c>
      <c r="B266" t="s">
        <v>4250</v>
      </c>
      <c r="C266" t="s">
        <v>4251</v>
      </c>
      <c r="D266" t="s">
        <v>4289</v>
      </c>
      <c r="E266" t="s">
        <v>4290</v>
      </c>
      <c r="F266" t="s">
        <v>3562</v>
      </c>
      <c r="G266" t="s">
        <v>4291</v>
      </c>
    </row>
    <row r="267" customHeight="1" spans="1:7">
      <c r="A267" t="s">
        <v>16</v>
      </c>
      <c r="B267" t="s">
        <v>4250</v>
      </c>
      <c r="C267" t="s">
        <v>4251</v>
      </c>
      <c r="D267" t="s">
        <v>4292</v>
      </c>
      <c r="E267" t="s">
        <v>4293</v>
      </c>
      <c r="F267" t="s">
        <v>3562</v>
      </c>
      <c r="G267" t="s">
        <v>4294</v>
      </c>
    </row>
    <row r="268" customHeight="1" spans="1:7">
      <c r="A268" t="s">
        <v>16</v>
      </c>
      <c r="B268" t="s">
        <v>4250</v>
      </c>
      <c r="C268" t="s">
        <v>4251</v>
      </c>
      <c r="D268" t="s">
        <v>4295</v>
      </c>
      <c r="E268" t="s">
        <v>4296</v>
      </c>
      <c r="F268" t="s">
        <v>3562</v>
      </c>
      <c r="G268" t="s">
        <v>4297</v>
      </c>
    </row>
    <row r="269" customHeight="1" spans="1:7">
      <c r="A269" t="s">
        <v>16</v>
      </c>
      <c r="B269" t="s">
        <v>4250</v>
      </c>
      <c r="C269" t="s">
        <v>4251</v>
      </c>
      <c r="D269" t="s">
        <v>4298</v>
      </c>
      <c r="E269" t="s">
        <v>4299</v>
      </c>
      <c r="F269" t="s">
        <v>3562</v>
      </c>
      <c r="G269" t="s">
        <v>4300</v>
      </c>
    </row>
    <row r="270" customHeight="1" spans="1:7">
      <c r="A270" t="s">
        <v>16</v>
      </c>
      <c r="B270" t="s">
        <v>4250</v>
      </c>
      <c r="C270" t="s">
        <v>4251</v>
      </c>
      <c r="D270" t="s">
        <v>4301</v>
      </c>
      <c r="E270" t="s">
        <v>4302</v>
      </c>
      <c r="F270" t="s">
        <v>3562</v>
      </c>
      <c r="G270" t="s">
        <v>4303</v>
      </c>
    </row>
    <row r="271" customHeight="1" spans="1:7">
      <c r="A271" t="s">
        <v>16</v>
      </c>
      <c r="B271" t="s">
        <v>4250</v>
      </c>
      <c r="C271" t="s">
        <v>4251</v>
      </c>
      <c r="D271" t="s">
        <v>4304</v>
      </c>
      <c r="E271" t="s">
        <v>4305</v>
      </c>
      <c r="F271" t="s">
        <v>3664</v>
      </c>
      <c r="G271" t="s">
        <v>4306</v>
      </c>
    </row>
    <row r="272" customHeight="1" spans="1:7">
      <c r="A272" t="s">
        <v>16</v>
      </c>
      <c r="B272" t="s">
        <v>4307</v>
      </c>
      <c r="C272" t="s">
        <v>4308</v>
      </c>
      <c r="D272" t="s">
        <v>4309</v>
      </c>
      <c r="E272" t="s">
        <v>4310</v>
      </c>
      <c r="F272" t="s">
        <v>3562</v>
      </c>
      <c r="G272" t="s">
        <v>4311</v>
      </c>
    </row>
    <row r="273" customHeight="1" spans="1:7">
      <c r="A273" t="s">
        <v>16</v>
      </c>
      <c r="B273" t="s">
        <v>4307</v>
      </c>
      <c r="C273" t="s">
        <v>4308</v>
      </c>
      <c r="D273" t="s">
        <v>4312</v>
      </c>
      <c r="E273" t="s">
        <v>4313</v>
      </c>
      <c r="F273" t="s">
        <v>3562</v>
      </c>
      <c r="G273" t="s">
        <v>4314</v>
      </c>
    </row>
    <row r="274" customHeight="1" spans="1:7">
      <c r="A274" t="s">
        <v>16</v>
      </c>
      <c r="B274" t="s">
        <v>4307</v>
      </c>
      <c r="C274" t="s">
        <v>4308</v>
      </c>
      <c r="D274" t="s">
        <v>4315</v>
      </c>
      <c r="E274" t="s">
        <v>4316</v>
      </c>
      <c r="F274" t="s">
        <v>3562</v>
      </c>
      <c r="G274" t="s">
        <v>4317</v>
      </c>
    </row>
    <row r="275" customHeight="1" spans="1:7">
      <c r="A275" t="s">
        <v>16</v>
      </c>
      <c r="B275" t="s">
        <v>4307</v>
      </c>
      <c r="C275" t="s">
        <v>4308</v>
      </c>
      <c r="D275" t="s">
        <v>4307</v>
      </c>
      <c r="E275" t="s">
        <v>4308</v>
      </c>
      <c r="F275" t="s">
        <v>3559</v>
      </c>
      <c r="G275" t="s">
        <v>4318</v>
      </c>
    </row>
    <row r="276" customHeight="1" spans="1:7">
      <c r="A276" t="s">
        <v>16</v>
      </c>
      <c r="B276" t="s">
        <v>4307</v>
      </c>
      <c r="C276" t="s">
        <v>4308</v>
      </c>
      <c r="D276" t="s">
        <v>4319</v>
      </c>
      <c r="E276" t="s">
        <v>4320</v>
      </c>
      <c r="F276" t="s">
        <v>3562</v>
      </c>
      <c r="G276" t="s">
        <v>4321</v>
      </c>
    </row>
    <row r="277" customHeight="1" spans="1:7">
      <c r="A277" t="s">
        <v>16</v>
      </c>
      <c r="B277" t="s">
        <v>4307</v>
      </c>
      <c r="C277" t="s">
        <v>4308</v>
      </c>
      <c r="D277" t="s">
        <v>4322</v>
      </c>
      <c r="E277" t="s">
        <v>4323</v>
      </c>
      <c r="F277" t="s">
        <v>3562</v>
      </c>
      <c r="G277" t="s">
        <v>4324</v>
      </c>
    </row>
    <row r="278" customHeight="1" spans="1:7">
      <c r="A278" t="s">
        <v>16</v>
      </c>
      <c r="B278" t="s">
        <v>4307</v>
      </c>
      <c r="C278" t="s">
        <v>4308</v>
      </c>
      <c r="D278" t="s">
        <v>4325</v>
      </c>
      <c r="E278" t="s">
        <v>4326</v>
      </c>
      <c r="F278" t="s">
        <v>3567</v>
      </c>
      <c r="G278" t="s">
        <v>4327</v>
      </c>
    </row>
    <row r="279" customHeight="1" spans="1:7">
      <c r="A279" t="s">
        <v>16</v>
      </c>
      <c r="B279" t="s">
        <v>4307</v>
      </c>
      <c r="C279" t="s">
        <v>4308</v>
      </c>
      <c r="D279" t="s">
        <v>4328</v>
      </c>
      <c r="E279" t="s">
        <v>4329</v>
      </c>
      <c r="F279" t="s">
        <v>3562</v>
      </c>
      <c r="G279" t="s">
        <v>4330</v>
      </c>
    </row>
    <row r="280" customHeight="1" spans="1:7">
      <c r="A280" t="s">
        <v>16</v>
      </c>
      <c r="B280" t="s">
        <v>4307</v>
      </c>
      <c r="C280" t="s">
        <v>4308</v>
      </c>
      <c r="D280" t="s">
        <v>4331</v>
      </c>
      <c r="E280" t="s">
        <v>4332</v>
      </c>
      <c r="F280" t="s">
        <v>3562</v>
      </c>
      <c r="G280" t="s">
        <v>4333</v>
      </c>
    </row>
    <row r="281" customHeight="1" spans="1:7">
      <c r="A281" t="s">
        <v>16</v>
      </c>
      <c r="B281" t="s">
        <v>4307</v>
      </c>
      <c r="C281" t="s">
        <v>4308</v>
      </c>
      <c r="D281" t="s">
        <v>3584</v>
      </c>
      <c r="E281" t="s">
        <v>4334</v>
      </c>
      <c r="F281" t="s">
        <v>3562</v>
      </c>
      <c r="G281" t="s">
        <v>4335</v>
      </c>
    </row>
    <row r="282" customHeight="1" spans="1:7">
      <c r="A282" t="s">
        <v>16</v>
      </c>
      <c r="B282" t="s">
        <v>4307</v>
      </c>
      <c r="C282" t="s">
        <v>4308</v>
      </c>
      <c r="D282" t="s">
        <v>4336</v>
      </c>
      <c r="E282" t="s">
        <v>4337</v>
      </c>
      <c r="F282" t="s">
        <v>3562</v>
      </c>
      <c r="G282" t="s">
        <v>4338</v>
      </c>
    </row>
    <row r="283" customHeight="1" spans="1:7">
      <c r="A283" t="s">
        <v>16</v>
      </c>
      <c r="B283" t="s">
        <v>4307</v>
      </c>
      <c r="C283" t="s">
        <v>4308</v>
      </c>
      <c r="D283" t="s">
        <v>4339</v>
      </c>
      <c r="E283" t="s">
        <v>4340</v>
      </c>
      <c r="F283" t="s">
        <v>3562</v>
      </c>
      <c r="G283" t="s">
        <v>4341</v>
      </c>
    </row>
    <row r="284" customHeight="1" spans="1:7">
      <c r="A284" t="s">
        <v>16</v>
      </c>
      <c r="B284" t="s">
        <v>4307</v>
      </c>
      <c r="C284" t="s">
        <v>4308</v>
      </c>
      <c r="D284" t="s">
        <v>4342</v>
      </c>
      <c r="E284" t="s">
        <v>4343</v>
      </c>
      <c r="F284" t="s">
        <v>3562</v>
      </c>
      <c r="G284" t="s">
        <v>4344</v>
      </c>
    </row>
    <row r="285" customHeight="1" spans="1:7">
      <c r="A285" t="s">
        <v>16</v>
      </c>
      <c r="B285" t="s">
        <v>4307</v>
      </c>
      <c r="C285" t="s">
        <v>4308</v>
      </c>
      <c r="D285" t="s">
        <v>4345</v>
      </c>
      <c r="E285" t="s">
        <v>4346</v>
      </c>
      <c r="F285" t="s">
        <v>3562</v>
      </c>
      <c r="G285" t="s">
        <v>4347</v>
      </c>
    </row>
    <row r="286" customHeight="1" spans="1:7">
      <c r="A286" t="s">
        <v>16</v>
      </c>
      <c r="B286" t="s">
        <v>4307</v>
      </c>
      <c r="C286" t="s">
        <v>4308</v>
      </c>
      <c r="D286" t="s">
        <v>4348</v>
      </c>
      <c r="E286" t="s">
        <v>4349</v>
      </c>
      <c r="F286" t="s">
        <v>3562</v>
      </c>
      <c r="G286" t="s">
        <v>4350</v>
      </c>
    </row>
    <row r="287" customHeight="1" spans="1:7">
      <c r="A287" t="s">
        <v>16</v>
      </c>
      <c r="B287" t="s">
        <v>4307</v>
      </c>
      <c r="C287" t="s">
        <v>4308</v>
      </c>
      <c r="D287" t="s">
        <v>4351</v>
      </c>
      <c r="E287" t="s">
        <v>4352</v>
      </c>
      <c r="F287" t="s">
        <v>3562</v>
      </c>
      <c r="G287" t="s">
        <v>4353</v>
      </c>
    </row>
    <row r="288" customHeight="1" spans="1:7">
      <c r="A288" t="s">
        <v>16</v>
      </c>
      <c r="B288" t="s">
        <v>4307</v>
      </c>
      <c r="C288" t="s">
        <v>4308</v>
      </c>
      <c r="D288" t="s">
        <v>4354</v>
      </c>
      <c r="E288" t="s">
        <v>4355</v>
      </c>
      <c r="F288" t="s">
        <v>3562</v>
      </c>
      <c r="G288" t="s">
        <v>4356</v>
      </c>
    </row>
    <row r="289" customHeight="1" spans="1:7">
      <c r="A289" t="s">
        <v>16</v>
      </c>
      <c r="B289" t="s">
        <v>4307</v>
      </c>
      <c r="C289" t="s">
        <v>4308</v>
      </c>
      <c r="D289" t="s">
        <v>4357</v>
      </c>
      <c r="E289" t="s">
        <v>4358</v>
      </c>
      <c r="F289" t="s">
        <v>3562</v>
      </c>
      <c r="G289" t="s">
        <v>4359</v>
      </c>
    </row>
    <row r="290" customHeight="1" spans="1:7">
      <c r="A290" t="s">
        <v>16</v>
      </c>
      <c r="B290" t="s">
        <v>4307</v>
      </c>
      <c r="C290" t="s">
        <v>4308</v>
      </c>
      <c r="D290" t="s">
        <v>4360</v>
      </c>
      <c r="E290" t="s">
        <v>4361</v>
      </c>
      <c r="F290" t="s">
        <v>3562</v>
      </c>
      <c r="G290" t="s">
        <v>4362</v>
      </c>
    </row>
    <row r="291" customHeight="1" spans="1:7">
      <c r="A291" t="s">
        <v>16</v>
      </c>
      <c r="B291" t="s">
        <v>4307</v>
      </c>
      <c r="C291" t="s">
        <v>4308</v>
      </c>
      <c r="D291" t="s">
        <v>4363</v>
      </c>
      <c r="E291" t="s">
        <v>4364</v>
      </c>
      <c r="F291" t="s">
        <v>3664</v>
      </c>
      <c r="G291" t="s">
        <v>4365</v>
      </c>
    </row>
    <row r="292" customHeight="1" spans="1:7">
      <c r="A292" t="s">
        <v>16</v>
      </c>
      <c r="B292" t="s">
        <v>4366</v>
      </c>
      <c r="C292" t="s">
        <v>4367</v>
      </c>
      <c r="D292" t="s">
        <v>4368</v>
      </c>
      <c r="E292" t="s">
        <v>4369</v>
      </c>
      <c r="F292" t="s">
        <v>3562</v>
      </c>
      <c r="G292" t="s">
        <v>4370</v>
      </c>
    </row>
    <row r="293" customHeight="1" spans="1:7">
      <c r="A293" t="s">
        <v>16</v>
      </c>
      <c r="B293" t="s">
        <v>4366</v>
      </c>
      <c r="C293" t="s">
        <v>4367</v>
      </c>
      <c r="D293" t="s">
        <v>4371</v>
      </c>
      <c r="E293" t="s">
        <v>4372</v>
      </c>
      <c r="F293" t="s">
        <v>3562</v>
      </c>
      <c r="G293" t="s">
        <v>4373</v>
      </c>
    </row>
    <row r="294" customHeight="1" spans="1:7">
      <c r="A294" t="s">
        <v>16</v>
      </c>
      <c r="B294" t="s">
        <v>4366</v>
      </c>
      <c r="C294" t="s">
        <v>4367</v>
      </c>
      <c r="D294" t="s">
        <v>4374</v>
      </c>
      <c r="E294" t="s">
        <v>4375</v>
      </c>
      <c r="F294" t="s">
        <v>3562</v>
      </c>
      <c r="G294" t="s">
        <v>4376</v>
      </c>
    </row>
    <row r="295" customHeight="1" spans="1:7">
      <c r="A295" t="s">
        <v>16</v>
      </c>
      <c r="B295" t="s">
        <v>4366</v>
      </c>
      <c r="C295" t="s">
        <v>4367</v>
      </c>
      <c r="D295" t="s">
        <v>4377</v>
      </c>
      <c r="E295" t="s">
        <v>4378</v>
      </c>
      <c r="F295" t="s">
        <v>3562</v>
      </c>
      <c r="G295" t="s">
        <v>4379</v>
      </c>
    </row>
    <row r="296" customHeight="1" spans="1:7">
      <c r="A296" t="s">
        <v>16</v>
      </c>
      <c r="B296" t="s">
        <v>4366</v>
      </c>
      <c r="C296" t="s">
        <v>4367</v>
      </c>
      <c r="D296" t="s">
        <v>4380</v>
      </c>
      <c r="E296" t="s">
        <v>4381</v>
      </c>
      <c r="F296" t="s">
        <v>3562</v>
      </c>
      <c r="G296" t="s">
        <v>4382</v>
      </c>
    </row>
    <row r="297" customHeight="1" spans="1:7">
      <c r="A297" t="s">
        <v>16</v>
      </c>
      <c r="B297" t="s">
        <v>4366</v>
      </c>
      <c r="C297" t="s">
        <v>4367</v>
      </c>
      <c r="D297" t="s">
        <v>4383</v>
      </c>
      <c r="E297" t="s">
        <v>4384</v>
      </c>
      <c r="F297" t="s">
        <v>3562</v>
      </c>
      <c r="G297" t="s">
        <v>4385</v>
      </c>
    </row>
    <row r="298" customHeight="1" spans="1:7">
      <c r="A298" t="s">
        <v>16</v>
      </c>
      <c r="B298" t="s">
        <v>4366</v>
      </c>
      <c r="C298" t="s">
        <v>4367</v>
      </c>
      <c r="D298" t="s">
        <v>4366</v>
      </c>
      <c r="E298" t="s">
        <v>4367</v>
      </c>
      <c r="F298" t="s">
        <v>3559</v>
      </c>
      <c r="G298" t="s">
        <v>4386</v>
      </c>
    </row>
    <row r="299" customHeight="1" spans="1:7">
      <c r="A299" t="s">
        <v>16</v>
      </c>
      <c r="B299" t="s">
        <v>4366</v>
      </c>
      <c r="C299" t="s">
        <v>4367</v>
      </c>
      <c r="D299" t="s">
        <v>4387</v>
      </c>
      <c r="E299" t="s">
        <v>4388</v>
      </c>
      <c r="F299" t="s">
        <v>3562</v>
      </c>
      <c r="G299" t="s">
        <v>4389</v>
      </c>
    </row>
    <row r="300" customHeight="1" spans="1:7">
      <c r="A300" t="s">
        <v>16</v>
      </c>
      <c r="B300" t="s">
        <v>4366</v>
      </c>
      <c r="C300" t="s">
        <v>4367</v>
      </c>
      <c r="D300" t="s">
        <v>4390</v>
      </c>
      <c r="E300" t="s">
        <v>4391</v>
      </c>
      <c r="F300" t="s">
        <v>3562</v>
      </c>
      <c r="G300" t="s">
        <v>4392</v>
      </c>
    </row>
    <row r="301" customHeight="1" spans="1:7">
      <c r="A301" t="s">
        <v>16</v>
      </c>
      <c r="B301" t="s">
        <v>4366</v>
      </c>
      <c r="C301" t="s">
        <v>4367</v>
      </c>
      <c r="D301" t="s">
        <v>4393</v>
      </c>
      <c r="E301" t="s">
        <v>4394</v>
      </c>
      <c r="F301" t="s">
        <v>3567</v>
      </c>
      <c r="G301" t="s">
        <v>4395</v>
      </c>
    </row>
    <row r="302" customHeight="1" spans="1:7">
      <c r="A302" t="s">
        <v>16</v>
      </c>
      <c r="B302" t="s">
        <v>4366</v>
      </c>
      <c r="C302" t="s">
        <v>4367</v>
      </c>
      <c r="D302" t="s">
        <v>4396</v>
      </c>
      <c r="E302" t="s">
        <v>4397</v>
      </c>
      <c r="F302" t="s">
        <v>3562</v>
      </c>
      <c r="G302" t="s">
        <v>4398</v>
      </c>
    </row>
    <row r="303" customHeight="1" spans="1:7">
      <c r="A303" t="s">
        <v>16</v>
      </c>
      <c r="B303" t="s">
        <v>4366</v>
      </c>
      <c r="C303" t="s">
        <v>4367</v>
      </c>
      <c r="D303" t="s">
        <v>4399</v>
      </c>
      <c r="E303" t="s">
        <v>4400</v>
      </c>
      <c r="F303" t="s">
        <v>3562</v>
      </c>
      <c r="G303" t="s">
        <v>4401</v>
      </c>
    </row>
    <row r="304" customHeight="1" spans="1:7">
      <c r="A304" t="s">
        <v>16</v>
      </c>
      <c r="B304" t="s">
        <v>4366</v>
      </c>
      <c r="C304" t="s">
        <v>4367</v>
      </c>
      <c r="D304" t="s">
        <v>4402</v>
      </c>
      <c r="E304" t="s">
        <v>4403</v>
      </c>
      <c r="F304" t="s">
        <v>3562</v>
      </c>
      <c r="G304" t="s">
        <v>4404</v>
      </c>
    </row>
    <row r="305" customHeight="1" spans="1:7">
      <c r="A305" t="s">
        <v>16</v>
      </c>
      <c r="B305" t="s">
        <v>4366</v>
      </c>
      <c r="C305" t="s">
        <v>4367</v>
      </c>
      <c r="D305" t="s">
        <v>4405</v>
      </c>
      <c r="E305" t="s">
        <v>4406</v>
      </c>
      <c r="F305" t="s">
        <v>3562</v>
      </c>
      <c r="G305" t="s">
        <v>4407</v>
      </c>
    </row>
    <row r="306" customHeight="1" spans="1:7">
      <c r="A306" t="s">
        <v>16</v>
      </c>
      <c r="B306" t="s">
        <v>4366</v>
      </c>
      <c r="C306" t="s">
        <v>4367</v>
      </c>
      <c r="D306" t="s">
        <v>4408</v>
      </c>
      <c r="E306" t="s">
        <v>4409</v>
      </c>
      <c r="F306" t="s">
        <v>3562</v>
      </c>
      <c r="G306" t="s">
        <v>4410</v>
      </c>
    </row>
    <row r="307" customHeight="1" spans="1:7">
      <c r="A307" t="s">
        <v>16</v>
      </c>
      <c r="B307" t="s">
        <v>4366</v>
      </c>
      <c r="C307" t="s">
        <v>4367</v>
      </c>
      <c r="D307" t="s">
        <v>4411</v>
      </c>
      <c r="E307" t="s">
        <v>4412</v>
      </c>
      <c r="F307" t="s">
        <v>3562</v>
      </c>
      <c r="G307" t="s">
        <v>4413</v>
      </c>
    </row>
    <row r="308" customHeight="1" spans="1:7">
      <c r="A308" t="s">
        <v>16</v>
      </c>
      <c r="B308" t="s">
        <v>4366</v>
      </c>
      <c r="C308" t="s">
        <v>4367</v>
      </c>
      <c r="D308" t="s">
        <v>4414</v>
      </c>
      <c r="E308" t="s">
        <v>4415</v>
      </c>
      <c r="F308" t="s">
        <v>3562</v>
      </c>
      <c r="G308" t="s">
        <v>4416</v>
      </c>
    </row>
    <row r="309" customHeight="1" spans="1:7">
      <c r="A309" t="s">
        <v>16</v>
      </c>
      <c r="B309" t="s">
        <v>4366</v>
      </c>
      <c r="C309" t="s">
        <v>4367</v>
      </c>
      <c r="D309" t="s">
        <v>4417</v>
      </c>
      <c r="E309" t="s">
        <v>4418</v>
      </c>
      <c r="F309" t="s">
        <v>3562</v>
      </c>
      <c r="G309" t="s">
        <v>4419</v>
      </c>
    </row>
    <row r="310" customHeight="1" spans="1:7">
      <c r="A310" t="s">
        <v>16</v>
      </c>
      <c r="B310" t="s">
        <v>4366</v>
      </c>
      <c r="C310" t="s">
        <v>4367</v>
      </c>
      <c r="D310" t="s">
        <v>4420</v>
      </c>
      <c r="E310" t="s">
        <v>4421</v>
      </c>
      <c r="F310" t="s">
        <v>3562</v>
      </c>
      <c r="G310" t="s">
        <v>4422</v>
      </c>
    </row>
    <row r="311" customHeight="1" spans="1:7">
      <c r="A311" t="s">
        <v>16</v>
      </c>
      <c r="B311" t="s">
        <v>4366</v>
      </c>
      <c r="C311" t="s">
        <v>4367</v>
      </c>
      <c r="D311" t="s">
        <v>4423</v>
      </c>
      <c r="E311" t="s">
        <v>4424</v>
      </c>
      <c r="F311" t="s">
        <v>3562</v>
      </c>
      <c r="G311" t="s">
        <v>4425</v>
      </c>
    </row>
    <row r="312" customHeight="1" spans="1:7">
      <c r="A312" t="s">
        <v>16</v>
      </c>
      <c r="B312" t="s">
        <v>4366</v>
      </c>
      <c r="C312" t="s">
        <v>4367</v>
      </c>
      <c r="D312" t="s">
        <v>4426</v>
      </c>
      <c r="E312" t="s">
        <v>4427</v>
      </c>
      <c r="F312" t="s">
        <v>3562</v>
      </c>
      <c r="G312" t="s">
        <v>4428</v>
      </c>
    </row>
    <row r="313" customHeight="1" spans="1:7">
      <c r="A313" t="s">
        <v>16</v>
      </c>
      <c r="B313" t="s">
        <v>4366</v>
      </c>
      <c r="C313" t="s">
        <v>4367</v>
      </c>
      <c r="D313" t="s">
        <v>4429</v>
      </c>
      <c r="E313" t="s">
        <v>4430</v>
      </c>
      <c r="F313" t="s">
        <v>3562</v>
      </c>
      <c r="G313" t="s">
        <v>4431</v>
      </c>
    </row>
    <row r="314" customHeight="1" spans="1:7">
      <c r="A314" t="s">
        <v>16</v>
      </c>
      <c r="B314" t="s">
        <v>4366</v>
      </c>
      <c r="C314" t="s">
        <v>4367</v>
      </c>
      <c r="D314" t="s">
        <v>4432</v>
      </c>
      <c r="E314" t="s">
        <v>4433</v>
      </c>
      <c r="F314" t="s">
        <v>3562</v>
      </c>
      <c r="G314" t="s">
        <v>4434</v>
      </c>
    </row>
    <row r="315" customHeight="1" spans="1:7">
      <c r="A315" t="s">
        <v>16</v>
      </c>
      <c r="B315" t="s">
        <v>4366</v>
      </c>
      <c r="C315" t="s">
        <v>4367</v>
      </c>
      <c r="D315" t="s">
        <v>4435</v>
      </c>
      <c r="E315" t="s">
        <v>4436</v>
      </c>
      <c r="F315" t="s">
        <v>3562</v>
      </c>
      <c r="G315" t="s">
        <v>4437</v>
      </c>
    </row>
    <row r="316" customHeight="1" spans="1:7">
      <c r="A316" t="s">
        <v>16</v>
      </c>
      <c r="B316" t="s">
        <v>4366</v>
      </c>
      <c r="C316" t="s">
        <v>4367</v>
      </c>
      <c r="D316" t="s">
        <v>4438</v>
      </c>
      <c r="E316" t="s">
        <v>4439</v>
      </c>
      <c r="F316" t="s">
        <v>3562</v>
      </c>
      <c r="G316" t="s">
        <v>4440</v>
      </c>
    </row>
    <row r="317" customHeight="1" spans="1:7">
      <c r="A317" t="s">
        <v>16</v>
      </c>
      <c r="B317" t="s">
        <v>4366</v>
      </c>
      <c r="C317" t="s">
        <v>4367</v>
      </c>
      <c r="D317" t="s">
        <v>4441</v>
      </c>
      <c r="E317" t="s">
        <v>4442</v>
      </c>
      <c r="F317" t="s">
        <v>3562</v>
      </c>
      <c r="G317" t="s">
        <v>4443</v>
      </c>
    </row>
    <row r="318" customHeight="1" spans="1:7">
      <c r="A318" t="s">
        <v>16</v>
      </c>
      <c r="B318" t="s">
        <v>4366</v>
      </c>
      <c r="C318" t="s">
        <v>4367</v>
      </c>
      <c r="D318" t="s">
        <v>4444</v>
      </c>
      <c r="E318" t="s">
        <v>4445</v>
      </c>
      <c r="F318" t="s">
        <v>3562</v>
      </c>
      <c r="G318" t="s">
        <v>4446</v>
      </c>
    </row>
    <row r="319" customHeight="1" spans="1:7">
      <c r="A319" t="s">
        <v>16</v>
      </c>
      <c r="B319" t="s">
        <v>4366</v>
      </c>
      <c r="C319" t="s">
        <v>4367</v>
      </c>
      <c r="D319" t="s">
        <v>4447</v>
      </c>
      <c r="E319" t="s">
        <v>4448</v>
      </c>
      <c r="F319" t="s">
        <v>3562</v>
      </c>
      <c r="G319" t="s">
        <v>4449</v>
      </c>
    </row>
    <row r="320" customHeight="1" spans="1:7">
      <c r="A320" t="s">
        <v>16</v>
      </c>
      <c r="B320" t="s">
        <v>4366</v>
      </c>
      <c r="C320" t="s">
        <v>4367</v>
      </c>
      <c r="D320" t="s">
        <v>4450</v>
      </c>
      <c r="E320" t="s">
        <v>4451</v>
      </c>
      <c r="F320" t="s">
        <v>3562</v>
      </c>
      <c r="G320" t="s">
        <v>4452</v>
      </c>
    </row>
    <row r="321" customHeight="1" spans="1:7">
      <c r="A321" t="s">
        <v>16</v>
      </c>
      <c r="B321" t="s">
        <v>4366</v>
      </c>
      <c r="C321" t="s">
        <v>4367</v>
      </c>
      <c r="D321" t="s">
        <v>4453</v>
      </c>
      <c r="E321" t="s">
        <v>4454</v>
      </c>
      <c r="F321" t="s">
        <v>3562</v>
      </c>
      <c r="G321" t="s">
        <v>4455</v>
      </c>
    </row>
    <row r="322" customHeight="1" spans="1:7">
      <c r="A322" t="s">
        <v>16</v>
      </c>
      <c r="B322" t="s">
        <v>4366</v>
      </c>
      <c r="C322" t="s">
        <v>4367</v>
      </c>
      <c r="D322" t="s">
        <v>4456</v>
      </c>
      <c r="E322" t="s">
        <v>4457</v>
      </c>
      <c r="F322" t="s">
        <v>3562</v>
      </c>
      <c r="G322" t="s">
        <v>4458</v>
      </c>
    </row>
    <row r="323" customHeight="1" spans="1:7">
      <c r="A323" t="s">
        <v>16</v>
      </c>
      <c r="B323" t="s">
        <v>4366</v>
      </c>
      <c r="C323" t="s">
        <v>4367</v>
      </c>
      <c r="D323" t="s">
        <v>4459</v>
      </c>
      <c r="E323" t="s">
        <v>4460</v>
      </c>
      <c r="F323" t="s">
        <v>3562</v>
      </c>
      <c r="G323" t="s">
        <v>4461</v>
      </c>
    </row>
    <row r="324" customHeight="1" spans="1:7">
      <c r="A324" t="s">
        <v>16</v>
      </c>
      <c r="B324" t="s">
        <v>4462</v>
      </c>
      <c r="C324" t="s">
        <v>4463</v>
      </c>
      <c r="D324" t="s">
        <v>4464</v>
      </c>
      <c r="E324" t="s">
        <v>4465</v>
      </c>
      <c r="F324" t="s">
        <v>3562</v>
      </c>
      <c r="G324" t="s">
        <v>4466</v>
      </c>
    </row>
    <row r="325" customHeight="1" spans="1:7">
      <c r="A325" t="s">
        <v>16</v>
      </c>
      <c r="B325" t="s">
        <v>4462</v>
      </c>
      <c r="C325" t="s">
        <v>4463</v>
      </c>
      <c r="D325" t="s">
        <v>4467</v>
      </c>
      <c r="E325" t="s">
        <v>4468</v>
      </c>
      <c r="F325" t="s">
        <v>3562</v>
      </c>
      <c r="G325" t="s">
        <v>4469</v>
      </c>
    </row>
    <row r="326" customHeight="1" spans="1:7">
      <c r="A326" t="s">
        <v>16</v>
      </c>
      <c r="B326" t="s">
        <v>4462</v>
      </c>
      <c r="C326" t="s">
        <v>4463</v>
      </c>
      <c r="D326" t="s">
        <v>3618</v>
      </c>
      <c r="E326" t="s">
        <v>4470</v>
      </c>
      <c r="F326" t="s">
        <v>3562</v>
      </c>
      <c r="G326" t="s">
        <v>4471</v>
      </c>
    </row>
    <row r="327" customHeight="1" spans="1:7">
      <c r="A327" t="s">
        <v>16</v>
      </c>
      <c r="B327" t="s">
        <v>4462</v>
      </c>
      <c r="C327" t="s">
        <v>4463</v>
      </c>
      <c r="D327" t="s">
        <v>4472</v>
      </c>
      <c r="E327" t="s">
        <v>4473</v>
      </c>
      <c r="F327" t="s">
        <v>3562</v>
      </c>
      <c r="G327" t="s">
        <v>4474</v>
      </c>
    </row>
    <row r="328" customHeight="1" spans="1:7">
      <c r="A328" t="s">
        <v>16</v>
      </c>
      <c r="B328" t="s">
        <v>4462</v>
      </c>
      <c r="C328" t="s">
        <v>4463</v>
      </c>
      <c r="D328" t="s">
        <v>4462</v>
      </c>
      <c r="E328" t="s">
        <v>4463</v>
      </c>
      <c r="F328" t="s">
        <v>3559</v>
      </c>
      <c r="G328" t="s">
        <v>4475</v>
      </c>
    </row>
    <row r="329" customHeight="1" spans="1:7">
      <c r="A329" t="s">
        <v>16</v>
      </c>
      <c r="B329" t="s">
        <v>4462</v>
      </c>
      <c r="C329" t="s">
        <v>4463</v>
      </c>
      <c r="D329" t="s">
        <v>4476</v>
      </c>
      <c r="E329" t="s">
        <v>4477</v>
      </c>
      <c r="F329" t="s">
        <v>3562</v>
      </c>
      <c r="G329" t="s">
        <v>4478</v>
      </c>
    </row>
    <row r="330" customHeight="1" spans="1:7">
      <c r="A330" t="s">
        <v>16</v>
      </c>
      <c r="B330" t="s">
        <v>4462</v>
      </c>
      <c r="C330" t="s">
        <v>4463</v>
      </c>
      <c r="D330" t="s">
        <v>4479</v>
      </c>
      <c r="E330" t="s">
        <v>4480</v>
      </c>
      <c r="F330" t="s">
        <v>3562</v>
      </c>
      <c r="G330" t="s">
        <v>4481</v>
      </c>
    </row>
    <row r="331" customHeight="1" spans="1:7">
      <c r="A331" t="s">
        <v>16</v>
      </c>
      <c r="B331" t="s">
        <v>4462</v>
      </c>
      <c r="C331" t="s">
        <v>4463</v>
      </c>
      <c r="D331" t="s">
        <v>4482</v>
      </c>
      <c r="E331" t="s">
        <v>4483</v>
      </c>
      <c r="F331" t="s">
        <v>3562</v>
      </c>
      <c r="G331" t="s">
        <v>4484</v>
      </c>
    </row>
    <row r="332" customHeight="1" spans="1:7">
      <c r="A332" t="s">
        <v>16</v>
      </c>
      <c r="B332" t="s">
        <v>4462</v>
      </c>
      <c r="C332" t="s">
        <v>4463</v>
      </c>
      <c r="D332" t="s">
        <v>4485</v>
      </c>
      <c r="E332" t="s">
        <v>4486</v>
      </c>
      <c r="F332" t="s">
        <v>3562</v>
      </c>
      <c r="G332" t="s">
        <v>4487</v>
      </c>
    </row>
    <row r="333" customHeight="1" spans="1:7">
      <c r="A333" t="s">
        <v>16</v>
      </c>
      <c r="B333" t="s">
        <v>4462</v>
      </c>
      <c r="C333" t="s">
        <v>4463</v>
      </c>
      <c r="D333" t="s">
        <v>4488</v>
      </c>
      <c r="E333" t="s">
        <v>4489</v>
      </c>
      <c r="F333" t="s">
        <v>3562</v>
      </c>
      <c r="G333" t="s">
        <v>4490</v>
      </c>
    </row>
    <row r="334" customHeight="1" spans="1:7">
      <c r="A334" t="s">
        <v>16</v>
      </c>
      <c r="B334" t="s">
        <v>4462</v>
      </c>
      <c r="C334" t="s">
        <v>4463</v>
      </c>
      <c r="D334" t="s">
        <v>4491</v>
      </c>
      <c r="E334" t="s">
        <v>4492</v>
      </c>
      <c r="F334" t="s">
        <v>3562</v>
      </c>
      <c r="G334" t="s">
        <v>4493</v>
      </c>
    </row>
    <row r="335" customHeight="1" spans="1:7">
      <c r="A335" t="s">
        <v>16</v>
      </c>
      <c r="B335" t="s">
        <v>4462</v>
      </c>
      <c r="C335" t="s">
        <v>4463</v>
      </c>
      <c r="D335" t="s">
        <v>4494</v>
      </c>
      <c r="E335" t="s">
        <v>4495</v>
      </c>
      <c r="F335" t="s">
        <v>3562</v>
      </c>
      <c r="G335" t="s">
        <v>4496</v>
      </c>
    </row>
    <row r="336" customHeight="1" spans="1:7">
      <c r="A336" t="s">
        <v>16</v>
      </c>
      <c r="B336" t="s">
        <v>4462</v>
      </c>
      <c r="C336" t="s">
        <v>4463</v>
      </c>
      <c r="D336" t="s">
        <v>4497</v>
      </c>
      <c r="E336" t="s">
        <v>4498</v>
      </c>
      <c r="F336" t="s">
        <v>3562</v>
      </c>
      <c r="G336" t="s">
        <v>4499</v>
      </c>
    </row>
    <row r="337" customHeight="1" spans="1:7">
      <c r="A337" t="s">
        <v>16</v>
      </c>
      <c r="B337" t="s">
        <v>4462</v>
      </c>
      <c r="C337" t="s">
        <v>4463</v>
      </c>
      <c r="D337" t="s">
        <v>4500</v>
      </c>
      <c r="E337" t="s">
        <v>4501</v>
      </c>
      <c r="F337" t="s">
        <v>3562</v>
      </c>
      <c r="G337" t="s">
        <v>4502</v>
      </c>
    </row>
    <row r="338" customHeight="1" spans="1:7">
      <c r="A338" t="s">
        <v>16</v>
      </c>
      <c r="B338" t="s">
        <v>4462</v>
      </c>
      <c r="C338" t="s">
        <v>4463</v>
      </c>
      <c r="D338" t="s">
        <v>4503</v>
      </c>
      <c r="E338" t="s">
        <v>4504</v>
      </c>
      <c r="F338" t="s">
        <v>3562</v>
      </c>
      <c r="G338" t="s">
        <v>4505</v>
      </c>
    </row>
    <row r="339" customHeight="1" spans="1:7">
      <c r="A339" t="s">
        <v>16</v>
      </c>
      <c r="B339" t="s">
        <v>4462</v>
      </c>
      <c r="C339" t="s">
        <v>4463</v>
      </c>
      <c r="D339" t="s">
        <v>4506</v>
      </c>
      <c r="E339" t="s">
        <v>4507</v>
      </c>
      <c r="F339" t="s">
        <v>3562</v>
      </c>
      <c r="G339" t="s">
        <v>4508</v>
      </c>
    </row>
    <row r="340" customHeight="1" spans="1:7">
      <c r="A340" t="s">
        <v>16</v>
      </c>
      <c r="B340" t="s">
        <v>4462</v>
      </c>
      <c r="C340" t="s">
        <v>4463</v>
      </c>
      <c r="D340" t="s">
        <v>4509</v>
      </c>
      <c r="E340" t="s">
        <v>4510</v>
      </c>
      <c r="F340" t="s">
        <v>3562</v>
      </c>
      <c r="G340" t="s">
        <v>4511</v>
      </c>
    </row>
    <row r="341" customHeight="1" spans="1:7">
      <c r="A341" t="s">
        <v>16</v>
      </c>
      <c r="B341" t="s">
        <v>4462</v>
      </c>
      <c r="C341" t="s">
        <v>4463</v>
      </c>
      <c r="D341" t="s">
        <v>4512</v>
      </c>
      <c r="E341" t="s">
        <v>4513</v>
      </c>
      <c r="F341" t="s">
        <v>3562</v>
      </c>
      <c r="G341" t="s">
        <v>4514</v>
      </c>
    </row>
    <row r="342" customHeight="1" spans="1:7">
      <c r="A342" t="s">
        <v>16</v>
      </c>
      <c r="B342" t="s">
        <v>4462</v>
      </c>
      <c r="C342" t="s">
        <v>4463</v>
      </c>
      <c r="D342" t="s">
        <v>4515</v>
      </c>
      <c r="E342" t="s">
        <v>4516</v>
      </c>
      <c r="F342" t="s">
        <v>3562</v>
      </c>
      <c r="G342" t="s">
        <v>4517</v>
      </c>
    </row>
    <row r="343" customHeight="1" spans="1:7">
      <c r="A343" t="s">
        <v>16</v>
      </c>
      <c r="B343" t="s">
        <v>4462</v>
      </c>
      <c r="C343" t="s">
        <v>4463</v>
      </c>
      <c r="D343" t="s">
        <v>4518</v>
      </c>
      <c r="E343" t="s">
        <v>4519</v>
      </c>
      <c r="F343" t="s">
        <v>3562</v>
      </c>
      <c r="G343" t="s">
        <v>4520</v>
      </c>
    </row>
    <row r="344" customHeight="1" spans="1:7">
      <c r="A344" t="s">
        <v>16</v>
      </c>
      <c r="B344" t="s">
        <v>4462</v>
      </c>
      <c r="C344" t="s">
        <v>4463</v>
      </c>
      <c r="D344" t="s">
        <v>4521</v>
      </c>
      <c r="E344" t="s">
        <v>4522</v>
      </c>
      <c r="F344" t="s">
        <v>3567</v>
      </c>
      <c r="G344" t="s">
        <v>4523</v>
      </c>
    </row>
    <row r="345" customHeight="1" spans="1:7">
      <c r="A345" t="s">
        <v>16</v>
      </c>
      <c r="B345" t="s">
        <v>4524</v>
      </c>
      <c r="C345" t="s">
        <v>4525</v>
      </c>
      <c r="D345" t="s">
        <v>4526</v>
      </c>
      <c r="E345" t="s">
        <v>4527</v>
      </c>
      <c r="F345" t="s">
        <v>3562</v>
      </c>
      <c r="G345" t="s">
        <v>4528</v>
      </c>
    </row>
    <row r="346" customHeight="1" spans="1:7">
      <c r="A346" t="s">
        <v>16</v>
      </c>
      <c r="B346" t="s">
        <v>4524</v>
      </c>
      <c r="C346" t="s">
        <v>4525</v>
      </c>
      <c r="D346" t="s">
        <v>4529</v>
      </c>
      <c r="E346" t="s">
        <v>4530</v>
      </c>
      <c r="F346" t="s">
        <v>3562</v>
      </c>
      <c r="G346" t="s">
        <v>4531</v>
      </c>
    </row>
    <row r="347" customHeight="1" spans="1:7">
      <c r="A347" t="s">
        <v>16</v>
      </c>
      <c r="B347" t="s">
        <v>4524</v>
      </c>
      <c r="C347" t="s">
        <v>4525</v>
      </c>
      <c r="D347" t="s">
        <v>4532</v>
      </c>
      <c r="E347" t="s">
        <v>4533</v>
      </c>
      <c r="F347" t="s">
        <v>3562</v>
      </c>
      <c r="G347" t="s">
        <v>4534</v>
      </c>
    </row>
    <row r="348" customHeight="1" spans="1:7">
      <c r="A348" t="s">
        <v>16</v>
      </c>
      <c r="B348" t="s">
        <v>4524</v>
      </c>
      <c r="C348" t="s">
        <v>4525</v>
      </c>
      <c r="D348" t="s">
        <v>4535</v>
      </c>
      <c r="E348" t="s">
        <v>4536</v>
      </c>
      <c r="F348" t="s">
        <v>3562</v>
      </c>
      <c r="G348" t="s">
        <v>4537</v>
      </c>
    </row>
    <row r="349" customHeight="1" spans="1:7">
      <c r="A349" t="s">
        <v>16</v>
      </c>
      <c r="B349" t="s">
        <v>4524</v>
      </c>
      <c r="C349" t="s">
        <v>4525</v>
      </c>
      <c r="D349" t="s">
        <v>4538</v>
      </c>
      <c r="E349" t="s">
        <v>4539</v>
      </c>
      <c r="F349" t="s">
        <v>3562</v>
      </c>
      <c r="G349" t="s">
        <v>4540</v>
      </c>
    </row>
    <row r="350" customHeight="1" spans="1:7">
      <c r="A350" t="s">
        <v>16</v>
      </c>
      <c r="B350" t="s">
        <v>4524</v>
      </c>
      <c r="C350" t="s">
        <v>4525</v>
      </c>
      <c r="D350" t="s">
        <v>4541</v>
      </c>
      <c r="E350" t="s">
        <v>4542</v>
      </c>
      <c r="F350" t="s">
        <v>3562</v>
      </c>
      <c r="G350" t="s">
        <v>4543</v>
      </c>
    </row>
    <row r="351" customHeight="1" spans="1:7">
      <c r="A351" t="s">
        <v>16</v>
      </c>
      <c r="B351" t="s">
        <v>4524</v>
      </c>
      <c r="C351" t="s">
        <v>4525</v>
      </c>
      <c r="D351" t="s">
        <v>4544</v>
      </c>
      <c r="E351" t="s">
        <v>4545</v>
      </c>
      <c r="F351" t="s">
        <v>3562</v>
      </c>
      <c r="G351" t="s">
        <v>4546</v>
      </c>
    </row>
    <row r="352" customHeight="1" spans="1:7">
      <c r="A352" t="s">
        <v>16</v>
      </c>
      <c r="B352" t="s">
        <v>4524</v>
      </c>
      <c r="C352" t="s">
        <v>4525</v>
      </c>
      <c r="D352" t="s">
        <v>4524</v>
      </c>
      <c r="E352" t="s">
        <v>4525</v>
      </c>
      <c r="F352" t="s">
        <v>3559</v>
      </c>
      <c r="G352" t="s">
        <v>4547</v>
      </c>
    </row>
    <row r="353" customHeight="1" spans="1:7">
      <c r="A353" t="s">
        <v>16</v>
      </c>
      <c r="B353" t="s">
        <v>4524</v>
      </c>
      <c r="C353" t="s">
        <v>4525</v>
      </c>
      <c r="D353" t="s">
        <v>4548</v>
      </c>
      <c r="E353" t="s">
        <v>4549</v>
      </c>
      <c r="F353" t="s">
        <v>3562</v>
      </c>
      <c r="G353" t="s">
        <v>4550</v>
      </c>
    </row>
    <row r="354" customHeight="1" spans="1:7">
      <c r="A354" t="s">
        <v>16</v>
      </c>
      <c r="B354" t="s">
        <v>4524</v>
      </c>
      <c r="C354" t="s">
        <v>4525</v>
      </c>
      <c r="D354" t="s">
        <v>4551</v>
      </c>
      <c r="E354" t="s">
        <v>4552</v>
      </c>
      <c r="F354" t="s">
        <v>3562</v>
      </c>
      <c r="G354" t="s">
        <v>4553</v>
      </c>
    </row>
    <row r="355" customHeight="1" spans="1:7">
      <c r="A355" t="s">
        <v>16</v>
      </c>
      <c r="B355" t="s">
        <v>4524</v>
      </c>
      <c r="C355" t="s">
        <v>4525</v>
      </c>
      <c r="D355" t="s">
        <v>4554</v>
      </c>
      <c r="E355" t="s">
        <v>4555</v>
      </c>
      <c r="F355" t="s">
        <v>3562</v>
      </c>
      <c r="G355" t="s">
        <v>4556</v>
      </c>
    </row>
    <row r="356" customHeight="1" spans="1:7">
      <c r="A356" t="s">
        <v>16</v>
      </c>
      <c r="B356" t="s">
        <v>4524</v>
      </c>
      <c r="C356" t="s">
        <v>4525</v>
      </c>
      <c r="D356" t="s">
        <v>4557</v>
      </c>
      <c r="E356" t="s">
        <v>4558</v>
      </c>
      <c r="F356" t="s">
        <v>3562</v>
      </c>
      <c r="G356" t="s">
        <v>4559</v>
      </c>
    </row>
    <row r="357" customHeight="1" spans="1:7">
      <c r="A357" t="s">
        <v>16</v>
      </c>
      <c r="B357" t="s">
        <v>4524</v>
      </c>
      <c r="C357" t="s">
        <v>4525</v>
      </c>
      <c r="D357" t="s">
        <v>4560</v>
      </c>
      <c r="E357" t="s">
        <v>4561</v>
      </c>
      <c r="F357" t="s">
        <v>3562</v>
      </c>
      <c r="G357" t="s">
        <v>4562</v>
      </c>
    </row>
    <row r="358" customHeight="1" spans="1:7">
      <c r="A358" t="s">
        <v>16</v>
      </c>
      <c r="B358" t="s">
        <v>4524</v>
      </c>
      <c r="C358" t="s">
        <v>4525</v>
      </c>
      <c r="D358" t="s">
        <v>4563</v>
      </c>
      <c r="E358" t="s">
        <v>4564</v>
      </c>
      <c r="F358" t="s">
        <v>3562</v>
      </c>
      <c r="G358" t="s">
        <v>4565</v>
      </c>
    </row>
    <row r="359" customHeight="1" spans="1:7">
      <c r="A359" t="s">
        <v>16</v>
      </c>
      <c r="B359" t="s">
        <v>4524</v>
      </c>
      <c r="C359" t="s">
        <v>4525</v>
      </c>
      <c r="D359" t="s">
        <v>4566</v>
      </c>
      <c r="E359" t="s">
        <v>4567</v>
      </c>
      <c r="F359" t="s">
        <v>3562</v>
      </c>
      <c r="G359" t="s">
        <v>4568</v>
      </c>
    </row>
    <row r="360" customHeight="1" spans="1:7">
      <c r="A360" t="s">
        <v>16</v>
      </c>
      <c r="B360" t="s">
        <v>4524</v>
      </c>
      <c r="C360" t="s">
        <v>4525</v>
      </c>
      <c r="D360" t="s">
        <v>4569</v>
      </c>
      <c r="E360" t="s">
        <v>4570</v>
      </c>
      <c r="F360" t="s">
        <v>3562</v>
      </c>
      <c r="G360" t="s">
        <v>4571</v>
      </c>
    </row>
    <row r="361" customHeight="1" spans="1:7">
      <c r="A361" t="s">
        <v>16</v>
      </c>
      <c r="B361" t="s">
        <v>4524</v>
      </c>
      <c r="C361" t="s">
        <v>4525</v>
      </c>
      <c r="D361" t="s">
        <v>4572</v>
      </c>
      <c r="E361" t="s">
        <v>4573</v>
      </c>
      <c r="F361" t="s">
        <v>3562</v>
      </c>
      <c r="G361" t="s">
        <v>4574</v>
      </c>
    </row>
    <row r="362" customHeight="1" spans="1:7">
      <c r="A362" t="s">
        <v>16</v>
      </c>
      <c r="B362" t="s">
        <v>4524</v>
      </c>
      <c r="C362" t="s">
        <v>4525</v>
      </c>
      <c r="D362" t="s">
        <v>4575</v>
      </c>
      <c r="E362" t="s">
        <v>4576</v>
      </c>
      <c r="F362" t="s">
        <v>3562</v>
      </c>
      <c r="G362" t="s">
        <v>4577</v>
      </c>
    </row>
    <row r="363" customHeight="1" spans="1:7">
      <c r="A363" t="s">
        <v>16</v>
      </c>
      <c r="B363" t="s">
        <v>4524</v>
      </c>
      <c r="C363" t="s">
        <v>4525</v>
      </c>
      <c r="D363" t="s">
        <v>4578</v>
      </c>
      <c r="E363" t="s">
        <v>4579</v>
      </c>
      <c r="F363" t="s">
        <v>3562</v>
      </c>
      <c r="G363" t="s">
        <v>4580</v>
      </c>
    </row>
    <row r="364" customHeight="1" spans="1:7">
      <c r="A364" t="s">
        <v>16</v>
      </c>
      <c r="B364" t="s">
        <v>4524</v>
      </c>
      <c r="C364" t="s">
        <v>4525</v>
      </c>
      <c r="D364" t="s">
        <v>4581</v>
      </c>
      <c r="E364" t="s">
        <v>4582</v>
      </c>
      <c r="F364" t="s">
        <v>3562</v>
      </c>
      <c r="G364" t="s">
        <v>4583</v>
      </c>
    </row>
    <row r="365" customHeight="1" spans="1:7">
      <c r="A365" t="s">
        <v>16</v>
      </c>
      <c r="B365" t="s">
        <v>4524</v>
      </c>
      <c r="C365" t="s">
        <v>4525</v>
      </c>
      <c r="D365" t="s">
        <v>4584</v>
      </c>
      <c r="E365" t="s">
        <v>4585</v>
      </c>
      <c r="F365" t="s">
        <v>3562</v>
      </c>
      <c r="G365" t="s">
        <v>4586</v>
      </c>
    </row>
    <row r="366" customHeight="1" spans="1:7">
      <c r="A366" t="s">
        <v>16</v>
      </c>
      <c r="B366" t="s">
        <v>4524</v>
      </c>
      <c r="C366" t="s">
        <v>4525</v>
      </c>
      <c r="D366" t="s">
        <v>4587</v>
      </c>
      <c r="E366" t="s">
        <v>4588</v>
      </c>
      <c r="F366" t="s">
        <v>3562</v>
      </c>
      <c r="G366" t="s">
        <v>4589</v>
      </c>
    </row>
    <row r="367" customHeight="1" spans="1:7">
      <c r="A367" t="s">
        <v>16</v>
      </c>
      <c r="B367" t="s">
        <v>4524</v>
      </c>
      <c r="C367" t="s">
        <v>4525</v>
      </c>
      <c r="D367" t="s">
        <v>4590</v>
      </c>
      <c r="E367" t="s">
        <v>4591</v>
      </c>
      <c r="F367" t="s">
        <v>3562</v>
      </c>
      <c r="G367" t="s">
        <v>4592</v>
      </c>
    </row>
    <row r="368" customHeight="1" spans="1:7">
      <c r="A368" t="s">
        <v>16</v>
      </c>
      <c r="B368" t="s">
        <v>4524</v>
      </c>
      <c r="C368" t="s">
        <v>4525</v>
      </c>
      <c r="D368" t="s">
        <v>4593</v>
      </c>
      <c r="E368" t="s">
        <v>4594</v>
      </c>
      <c r="F368" t="s">
        <v>3562</v>
      </c>
      <c r="G368" t="s">
        <v>4595</v>
      </c>
    </row>
    <row r="369" customHeight="1" spans="1:7">
      <c r="A369" t="s">
        <v>16</v>
      </c>
      <c r="B369" t="s">
        <v>4524</v>
      </c>
      <c r="C369" t="s">
        <v>4525</v>
      </c>
      <c r="D369" t="s">
        <v>4596</v>
      </c>
      <c r="E369" t="s">
        <v>4597</v>
      </c>
      <c r="F369" t="s">
        <v>3562</v>
      </c>
      <c r="G369" t="s">
        <v>4598</v>
      </c>
    </row>
    <row r="370" customHeight="1" spans="1:7">
      <c r="A370" t="s">
        <v>16</v>
      </c>
      <c r="B370" t="s">
        <v>4524</v>
      </c>
      <c r="C370" t="s">
        <v>4525</v>
      </c>
      <c r="D370" t="s">
        <v>4599</v>
      </c>
      <c r="E370" t="s">
        <v>4600</v>
      </c>
      <c r="F370" t="s">
        <v>3562</v>
      </c>
      <c r="G370" t="s">
        <v>4601</v>
      </c>
    </row>
    <row r="371" customHeight="1" spans="1:7">
      <c r="A371" t="s">
        <v>16</v>
      </c>
      <c r="B371" t="s">
        <v>4602</v>
      </c>
      <c r="C371" t="s">
        <v>4603</v>
      </c>
      <c r="D371" t="s">
        <v>4602</v>
      </c>
      <c r="E371" t="s">
        <v>4603</v>
      </c>
      <c r="F371" t="s">
        <v>4604</v>
      </c>
      <c r="G371" t="s">
        <v>4605</v>
      </c>
    </row>
    <row r="372" customHeight="1" spans="1:7">
      <c r="A372" t="s">
        <v>16</v>
      </c>
      <c r="B372" t="s">
        <v>4606</v>
      </c>
      <c r="C372" t="s">
        <v>4607</v>
      </c>
      <c r="D372" t="s">
        <v>4606</v>
      </c>
      <c r="E372" t="s">
        <v>4607</v>
      </c>
      <c r="F372" t="s">
        <v>4604</v>
      </c>
      <c r="G372" t="s">
        <v>4608</v>
      </c>
    </row>
    <row r="373" customHeight="1" spans="1:7">
      <c r="A373" t="s">
        <v>16</v>
      </c>
      <c r="B373" t="s">
        <v>4609</v>
      </c>
      <c r="C373" t="s">
        <v>4610</v>
      </c>
      <c r="D373" t="s">
        <v>4611</v>
      </c>
      <c r="E373" t="s">
        <v>4612</v>
      </c>
      <c r="F373" t="s">
        <v>3562</v>
      </c>
      <c r="G373" t="s">
        <v>4613</v>
      </c>
    </row>
    <row r="374" customHeight="1" spans="1:7">
      <c r="A374" t="s">
        <v>16</v>
      </c>
      <c r="B374" t="s">
        <v>4609</v>
      </c>
      <c r="C374" t="s">
        <v>4610</v>
      </c>
      <c r="D374" t="s">
        <v>4614</v>
      </c>
      <c r="E374" t="s">
        <v>4615</v>
      </c>
      <c r="F374" t="s">
        <v>3562</v>
      </c>
      <c r="G374" t="s">
        <v>4616</v>
      </c>
    </row>
    <row r="375" customHeight="1" spans="1:7">
      <c r="A375" t="s">
        <v>16</v>
      </c>
      <c r="B375" t="s">
        <v>4609</v>
      </c>
      <c r="C375" t="s">
        <v>4610</v>
      </c>
      <c r="D375" t="s">
        <v>4617</v>
      </c>
      <c r="E375" t="s">
        <v>4618</v>
      </c>
      <c r="F375" t="s">
        <v>3562</v>
      </c>
      <c r="G375" t="s">
        <v>4619</v>
      </c>
    </row>
    <row r="376" customHeight="1" spans="1:7">
      <c r="A376" t="s">
        <v>16</v>
      </c>
      <c r="B376" t="s">
        <v>4609</v>
      </c>
      <c r="C376" t="s">
        <v>4610</v>
      </c>
      <c r="D376" t="s">
        <v>4620</v>
      </c>
      <c r="E376" t="s">
        <v>4621</v>
      </c>
      <c r="F376" t="s">
        <v>3562</v>
      </c>
      <c r="G376" t="s">
        <v>4622</v>
      </c>
    </row>
    <row r="377" customHeight="1" spans="1:7">
      <c r="A377" t="s">
        <v>16</v>
      </c>
      <c r="B377" t="s">
        <v>4609</v>
      </c>
      <c r="C377" t="s">
        <v>4610</v>
      </c>
      <c r="D377" t="s">
        <v>4609</v>
      </c>
      <c r="E377" t="s">
        <v>4610</v>
      </c>
      <c r="F377" t="s">
        <v>3559</v>
      </c>
      <c r="G377" t="s">
        <v>4623</v>
      </c>
    </row>
    <row r="378" customHeight="1" spans="1:7">
      <c r="A378" t="s">
        <v>16</v>
      </c>
      <c r="B378" t="s">
        <v>4609</v>
      </c>
      <c r="C378" t="s">
        <v>4610</v>
      </c>
      <c r="D378" t="s">
        <v>4624</v>
      </c>
      <c r="E378" t="s">
        <v>4625</v>
      </c>
      <c r="F378" t="s">
        <v>3562</v>
      </c>
      <c r="G378" t="s">
        <v>4626</v>
      </c>
    </row>
    <row r="379" customHeight="1" spans="1:7">
      <c r="A379" t="s">
        <v>16</v>
      </c>
      <c r="B379" t="s">
        <v>4609</v>
      </c>
      <c r="C379" t="s">
        <v>4610</v>
      </c>
      <c r="D379" t="s">
        <v>4627</v>
      </c>
      <c r="E379" t="s">
        <v>4628</v>
      </c>
      <c r="F379" t="s">
        <v>3562</v>
      </c>
      <c r="G379" t="s">
        <v>4629</v>
      </c>
    </row>
    <row r="380" customHeight="1" spans="1:7">
      <c r="A380" t="s">
        <v>16</v>
      </c>
      <c r="B380" t="s">
        <v>4609</v>
      </c>
      <c r="C380" t="s">
        <v>4610</v>
      </c>
      <c r="D380" t="s">
        <v>4630</v>
      </c>
      <c r="E380" t="s">
        <v>4631</v>
      </c>
      <c r="F380" t="s">
        <v>3562</v>
      </c>
      <c r="G380" t="s">
        <v>4632</v>
      </c>
    </row>
    <row r="381" customHeight="1" spans="1:7">
      <c r="A381" t="s">
        <v>16</v>
      </c>
      <c r="B381" t="s">
        <v>4609</v>
      </c>
      <c r="C381" t="s">
        <v>4610</v>
      </c>
      <c r="D381" t="s">
        <v>4633</v>
      </c>
      <c r="E381" t="s">
        <v>4634</v>
      </c>
      <c r="F381" t="s">
        <v>3562</v>
      </c>
      <c r="G381" t="s">
        <v>4635</v>
      </c>
    </row>
    <row r="382" customHeight="1" spans="1:7">
      <c r="A382" t="s">
        <v>16</v>
      </c>
      <c r="B382" t="s">
        <v>4609</v>
      </c>
      <c r="C382" t="s">
        <v>4610</v>
      </c>
      <c r="D382" t="s">
        <v>4636</v>
      </c>
      <c r="E382" t="s">
        <v>4637</v>
      </c>
      <c r="F382" t="s">
        <v>3562</v>
      </c>
      <c r="G382" t="s">
        <v>4638</v>
      </c>
    </row>
    <row r="383" customHeight="1" spans="1:7">
      <c r="A383" t="s">
        <v>16</v>
      </c>
      <c r="B383" t="s">
        <v>4609</v>
      </c>
      <c r="C383" t="s">
        <v>4610</v>
      </c>
      <c r="D383" t="s">
        <v>4639</v>
      </c>
      <c r="E383" t="s">
        <v>4640</v>
      </c>
      <c r="F383" t="s">
        <v>3562</v>
      </c>
      <c r="G383" t="s">
        <v>4641</v>
      </c>
    </row>
    <row r="384" customHeight="1" spans="1:7">
      <c r="A384" t="s">
        <v>16</v>
      </c>
      <c r="B384" t="s">
        <v>4609</v>
      </c>
      <c r="C384" t="s">
        <v>4610</v>
      </c>
      <c r="D384" t="s">
        <v>4642</v>
      </c>
      <c r="E384" t="s">
        <v>4643</v>
      </c>
      <c r="F384" t="s">
        <v>3562</v>
      </c>
      <c r="G384" t="s">
        <v>4644</v>
      </c>
    </row>
    <row r="385" customHeight="1" spans="1:7">
      <c r="A385" t="s">
        <v>16</v>
      </c>
      <c r="B385" t="s">
        <v>4609</v>
      </c>
      <c r="C385" t="s">
        <v>4610</v>
      </c>
      <c r="D385" t="s">
        <v>4645</v>
      </c>
      <c r="E385" t="s">
        <v>4646</v>
      </c>
      <c r="F385" t="s">
        <v>3562</v>
      </c>
      <c r="G385" t="s">
        <v>4647</v>
      </c>
    </row>
    <row r="386" customHeight="1" spans="1:7">
      <c r="A386" t="s">
        <v>16</v>
      </c>
      <c r="B386" t="s">
        <v>4609</v>
      </c>
      <c r="C386" t="s">
        <v>4610</v>
      </c>
      <c r="D386" t="s">
        <v>4648</v>
      </c>
      <c r="E386" t="s">
        <v>4649</v>
      </c>
      <c r="F386" t="s">
        <v>3562</v>
      </c>
      <c r="G386" t="s">
        <v>4650</v>
      </c>
    </row>
    <row r="387" customHeight="1" spans="1:7">
      <c r="A387" t="s">
        <v>16</v>
      </c>
      <c r="B387" t="s">
        <v>4609</v>
      </c>
      <c r="C387" t="s">
        <v>4610</v>
      </c>
      <c r="D387" t="s">
        <v>4651</v>
      </c>
      <c r="E387" t="s">
        <v>4652</v>
      </c>
      <c r="F387" t="s">
        <v>3562</v>
      </c>
      <c r="G387" t="s">
        <v>4653</v>
      </c>
    </row>
    <row r="388" customHeight="1" spans="1:7">
      <c r="A388" t="s">
        <v>16</v>
      </c>
      <c r="B388" t="s">
        <v>4609</v>
      </c>
      <c r="C388" t="s">
        <v>4610</v>
      </c>
      <c r="D388" t="s">
        <v>4654</v>
      </c>
      <c r="E388" t="s">
        <v>4655</v>
      </c>
      <c r="F388" t="s">
        <v>3562</v>
      </c>
      <c r="G388" t="s">
        <v>4656</v>
      </c>
    </row>
    <row r="389" customHeight="1" spans="1:7">
      <c r="A389" t="s">
        <v>16</v>
      </c>
      <c r="B389" t="s">
        <v>4609</v>
      </c>
      <c r="C389" t="s">
        <v>4610</v>
      </c>
      <c r="D389" t="s">
        <v>4657</v>
      </c>
      <c r="E389" t="s">
        <v>4658</v>
      </c>
      <c r="F389" t="s">
        <v>3562</v>
      </c>
      <c r="G389" t="s">
        <v>4659</v>
      </c>
    </row>
    <row r="390" customHeight="1" spans="1:7">
      <c r="A390" t="s">
        <v>16</v>
      </c>
      <c r="B390" t="s">
        <v>4609</v>
      </c>
      <c r="C390" t="s">
        <v>4610</v>
      </c>
      <c r="D390" t="s">
        <v>4660</v>
      </c>
      <c r="E390" t="s">
        <v>4661</v>
      </c>
      <c r="F390" t="s">
        <v>3562</v>
      </c>
      <c r="G390" t="s">
        <v>4662</v>
      </c>
    </row>
    <row r="391" customHeight="1" spans="1:7">
      <c r="A391" t="s">
        <v>16</v>
      </c>
      <c r="B391" t="s">
        <v>4609</v>
      </c>
      <c r="C391" t="s">
        <v>4610</v>
      </c>
      <c r="D391" t="s">
        <v>4663</v>
      </c>
      <c r="E391" t="s">
        <v>4664</v>
      </c>
      <c r="F391" t="s">
        <v>3562</v>
      </c>
      <c r="G391" t="s">
        <v>4665</v>
      </c>
    </row>
    <row r="392" customHeight="1" spans="1:7">
      <c r="A392" t="s">
        <v>16</v>
      </c>
      <c r="B392" t="s">
        <v>4609</v>
      </c>
      <c r="C392" t="s">
        <v>4610</v>
      </c>
      <c r="D392" t="s">
        <v>4666</v>
      </c>
      <c r="E392" t="s">
        <v>4667</v>
      </c>
      <c r="F392" t="s">
        <v>3562</v>
      </c>
      <c r="G392" t="s">
        <v>4668</v>
      </c>
    </row>
    <row r="393" customHeight="1" spans="1:7">
      <c r="A393" t="s">
        <v>16</v>
      </c>
      <c r="B393" t="s">
        <v>101</v>
      </c>
      <c r="C393" t="s">
        <v>4669</v>
      </c>
      <c r="D393" t="s">
        <v>3937</v>
      </c>
      <c r="E393" t="s">
        <v>4670</v>
      </c>
      <c r="F393" t="s">
        <v>3562</v>
      </c>
      <c r="G393" t="s">
        <v>4671</v>
      </c>
    </row>
    <row r="394" customHeight="1" spans="1:7">
      <c r="A394" t="s">
        <v>16</v>
      </c>
      <c r="B394" t="s">
        <v>101</v>
      </c>
      <c r="C394" t="s">
        <v>4669</v>
      </c>
      <c r="D394" t="s">
        <v>4672</v>
      </c>
      <c r="E394" t="s">
        <v>4673</v>
      </c>
      <c r="F394" t="s">
        <v>3562</v>
      </c>
      <c r="G394" t="s">
        <v>4674</v>
      </c>
    </row>
    <row r="395" customHeight="1" spans="1:7">
      <c r="A395" t="s">
        <v>16</v>
      </c>
      <c r="B395" t="s">
        <v>101</v>
      </c>
      <c r="C395" t="s">
        <v>4669</v>
      </c>
      <c r="D395" t="s">
        <v>4675</v>
      </c>
      <c r="E395" t="s">
        <v>4676</v>
      </c>
      <c r="F395" t="s">
        <v>3562</v>
      </c>
      <c r="G395" t="s">
        <v>4677</v>
      </c>
    </row>
    <row r="396" customHeight="1" spans="1:7">
      <c r="A396" t="s">
        <v>16</v>
      </c>
      <c r="B396" t="s">
        <v>101</v>
      </c>
      <c r="C396" t="s">
        <v>4669</v>
      </c>
      <c r="D396" t="s">
        <v>4678</v>
      </c>
      <c r="E396" t="s">
        <v>4679</v>
      </c>
      <c r="F396" t="s">
        <v>3562</v>
      </c>
      <c r="G396" t="s">
        <v>4680</v>
      </c>
    </row>
    <row r="397" customHeight="1" spans="1:7">
      <c r="A397" t="s">
        <v>16</v>
      </c>
      <c r="B397" t="s">
        <v>101</v>
      </c>
      <c r="C397" t="s">
        <v>4669</v>
      </c>
      <c r="D397" t="s">
        <v>4681</v>
      </c>
      <c r="E397" t="s">
        <v>4682</v>
      </c>
      <c r="F397" t="s">
        <v>3562</v>
      </c>
      <c r="G397" t="s">
        <v>4683</v>
      </c>
    </row>
    <row r="398" customHeight="1" spans="1:7">
      <c r="A398" t="s">
        <v>16</v>
      </c>
      <c r="B398" t="s">
        <v>101</v>
      </c>
      <c r="C398" t="s">
        <v>4669</v>
      </c>
      <c r="D398" t="s">
        <v>102</v>
      </c>
      <c r="E398" t="s">
        <v>103</v>
      </c>
      <c r="F398" t="s">
        <v>3567</v>
      </c>
      <c r="G398" t="s">
        <v>100</v>
      </c>
    </row>
    <row r="399" customHeight="1" spans="1:7">
      <c r="A399" t="s">
        <v>16</v>
      </c>
      <c r="B399" t="s">
        <v>101</v>
      </c>
      <c r="C399" t="s">
        <v>4669</v>
      </c>
      <c r="D399" t="s">
        <v>101</v>
      </c>
      <c r="E399" t="s">
        <v>4669</v>
      </c>
      <c r="F399" t="s">
        <v>3559</v>
      </c>
      <c r="G399" t="s">
        <v>4684</v>
      </c>
    </row>
    <row r="400" customHeight="1" spans="1:7">
      <c r="A400" t="s">
        <v>16</v>
      </c>
      <c r="B400" t="s">
        <v>101</v>
      </c>
      <c r="C400" t="s">
        <v>4669</v>
      </c>
      <c r="D400" t="s">
        <v>4685</v>
      </c>
      <c r="E400" t="s">
        <v>4686</v>
      </c>
      <c r="F400" t="s">
        <v>3562</v>
      </c>
      <c r="G400" t="s">
        <v>4687</v>
      </c>
    </row>
    <row r="401" customHeight="1" spans="1:7">
      <c r="A401" t="s">
        <v>16</v>
      </c>
      <c r="B401" t="s">
        <v>101</v>
      </c>
      <c r="C401" t="s">
        <v>4669</v>
      </c>
      <c r="D401" t="s">
        <v>4688</v>
      </c>
      <c r="E401" t="s">
        <v>4689</v>
      </c>
      <c r="F401" t="s">
        <v>3562</v>
      </c>
      <c r="G401" t="s">
        <v>4690</v>
      </c>
    </row>
    <row r="402" customHeight="1" spans="1:7">
      <c r="A402" t="s">
        <v>16</v>
      </c>
      <c r="B402" t="s">
        <v>101</v>
      </c>
      <c r="C402" t="s">
        <v>4669</v>
      </c>
      <c r="D402" t="s">
        <v>4691</v>
      </c>
      <c r="E402" t="s">
        <v>4692</v>
      </c>
      <c r="F402" t="s">
        <v>3562</v>
      </c>
      <c r="G402" t="s">
        <v>4693</v>
      </c>
    </row>
    <row r="403" customHeight="1" spans="1:7">
      <c r="A403" t="s">
        <v>16</v>
      </c>
      <c r="B403" t="s">
        <v>101</v>
      </c>
      <c r="C403" t="s">
        <v>4669</v>
      </c>
      <c r="D403" t="s">
        <v>4694</v>
      </c>
      <c r="E403" t="s">
        <v>4695</v>
      </c>
      <c r="F403" t="s">
        <v>3562</v>
      </c>
      <c r="G403" t="s">
        <v>4696</v>
      </c>
    </row>
    <row r="404" customHeight="1" spans="1:7">
      <c r="A404" t="s">
        <v>16</v>
      </c>
      <c r="B404" t="s">
        <v>101</v>
      </c>
      <c r="C404" t="s">
        <v>4669</v>
      </c>
      <c r="D404" t="s">
        <v>4697</v>
      </c>
      <c r="E404" t="s">
        <v>4698</v>
      </c>
      <c r="F404" t="s">
        <v>3562</v>
      </c>
      <c r="G404" t="s">
        <v>4699</v>
      </c>
    </row>
    <row r="405" customHeight="1" spans="1:7">
      <c r="A405" t="s">
        <v>16</v>
      </c>
      <c r="B405" t="s">
        <v>101</v>
      </c>
      <c r="C405" t="s">
        <v>4669</v>
      </c>
      <c r="D405" t="s">
        <v>4700</v>
      </c>
      <c r="E405" t="s">
        <v>4701</v>
      </c>
      <c r="F405" t="s">
        <v>3562</v>
      </c>
      <c r="G405" t="s">
        <v>4702</v>
      </c>
    </row>
    <row r="406" customHeight="1" spans="1:7">
      <c r="A406" t="s">
        <v>16</v>
      </c>
      <c r="B406" t="s">
        <v>101</v>
      </c>
      <c r="C406" t="s">
        <v>4669</v>
      </c>
      <c r="D406" t="s">
        <v>4703</v>
      </c>
      <c r="E406" t="s">
        <v>4704</v>
      </c>
      <c r="F406" t="s">
        <v>3562</v>
      </c>
      <c r="G406" t="s">
        <v>4705</v>
      </c>
    </row>
    <row r="407" customHeight="1" spans="1:7">
      <c r="A407" t="s">
        <v>16</v>
      </c>
      <c r="B407" t="s">
        <v>101</v>
      </c>
      <c r="C407" t="s">
        <v>4669</v>
      </c>
      <c r="D407" t="s">
        <v>4706</v>
      </c>
      <c r="E407" t="s">
        <v>4707</v>
      </c>
      <c r="F407" t="s">
        <v>3562</v>
      </c>
      <c r="G407" t="s">
        <v>4708</v>
      </c>
    </row>
    <row r="408" customHeight="1" spans="1:7">
      <c r="A408" t="s">
        <v>16</v>
      </c>
      <c r="B408" t="s">
        <v>101</v>
      </c>
      <c r="C408" t="s">
        <v>4669</v>
      </c>
      <c r="D408" t="s">
        <v>4709</v>
      </c>
      <c r="E408" t="s">
        <v>4710</v>
      </c>
      <c r="F408" t="s">
        <v>3562</v>
      </c>
      <c r="G408" t="s">
        <v>4711</v>
      </c>
    </row>
    <row r="409" customHeight="1" spans="1:7">
      <c r="A409" t="s">
        <v>16</v>
      </c>
      <c r="B409" t="s">
        <v>101</v>
      </c>
      <c r="C409" t="s">
        <v>4669</v>
      </c>
      <c r="D409" t="s">
        <v>4712</v>
      </c>
      <c r="E409" t="s">
        <v>4713</v>
      </c>
      <c r="F409" t="s">
        <v>3562</v>
      </c>
      <c r="G409" t="s">
        <v>4714</v>
      </c>
    </row>
    <row r="410" customHeight="1" spans="1:7">
      <c r="A410" t="s">
        <v>16</v>
      </c>
      <c r="B410" t="s">
        <v>4715</v>
      </c>
      <c r="C410" t="s">
        <v>4716</v>
      </c>
      <c r="D410" t="s">
        <v>4717</v>
      </c>
      <c r="E410" t="s">
        <v>4718</v>
      </c>
      <c r="F410" t="s">
        <v>3562</v>
      </c>
      <c r="G410" t="s">
        <v>4719</v>
      </c>
    </row>
    <row r="411" customHeight="1" spans="1:7">
      <c r="A411" t="s">
        <v>16</v>
      </c>
      <c r="B411" t="s">
        <v>4715</v>
      </c>
      <c r="C411" t="s">
        <v>4716</v>
      </c>
      <c r="D411" t="s">
        <v>4720</v>
      </c>
      <c r="E411" t="s">
        <v>4721</v>
      </c>
      <c r="F411" t="s">
        <v>3562</v>
      </c>
      <c r="G411" t="s">
        <v>4722</v>
      </c>
    </row>
    <row r="412" customHeight="1" spans="1:7">
      <c r="A412" t="s">
        <v>16</v>
      </c>
      <c r="B412" t="s">
        <v>4715</v>
      </c>
      <c r="C412" t="s">
        <v>4716</v>
      </c>
      <c r="D412" t="s">
        <v>4723</v>
      </c>
      <c r="E412" t="s">
        <v>4724</v>
      </c>
      <c r="F412" t="s">
        <v>3562</v>
      </c>
      <c r="G412" t="s">
        <v>4725</v>
      </c>
    </row>
    <row r="413" customHeight="1" spans="1:7">
      <c r="A413" t="s">
        <v>16</v>
      </c>
      <c r="B413" t="s">
        <v>4715</v>
      </c>
      <c r="C413" t="s">
        <v>4716</v>
      </c>
      <c r="D413" t="s">
        <v>4726</v>
      </c>
      <c r="E413" t="s">
        <v>4727</v>
      </c>
      <c r="F413" t="s">
        <v>3562</v>
      </c>
      <c r="G413" t="s">
        <v>4728</v>
      </c>
    </row>
    <row r="414" customHeight="1" spans="1:7">
      <c r="A414" t="s">
        <v>16</v>
      </c>
      <c r="B414" t="s">
        <v>4715</v>
      </c>
      <c r="C414" t="s">
        <v>4716</v>
      </c>
      <c r="D414" t="s">
        <v>4729</v>
      </c>
      <c r="E414" t="s">
        <v>4730</v>
      </c>
      <c r="F414" t="s">
        <v>3562</v>
      </c>
      <c r="G414" t="s">
        <v>4731</v>
      </c>
    </row>
    <row r="415" customHeight="1" spans="1:7">
      <c r="A415" t="s">
        <v>16</v>
      </c>
      <c r="B415" t="s">
        <v>4715</v>
      </c>
      <c r="C415" t="s">
        <v>4716</v>
      </c>
      <c r="D415" t="s">
        <v>4732</v>
      </c>
      <c r="E415" t="s">
        <v>4733</v>
      </c>
      <c r="F415" t="s">
        <v>3562</v>
      </c>
      <c r="G415" t="s">
        <v>4734</v>
      </c>
    </row>
    <row r="416" customHeight="1" spans="1:7">
      <c r="A416" t="s">
        <v>16</v>
      </c>
      <c r="B416" t="s">
        <v>4715</v>
      </c>
      <c r="C416" t="s">
        <v>4716</v>
      </c>
      <c r="D416" t="s">
        <v>4735</v>
      </c>
      <c r="E416" t="s">
        <v>4736</v>
      </c>
      <c r="F416" t="s">
        <v>3562</v>
      </c>
      <c r="G416" t="s">
        <v>4737</v>
      </c>
    </row>
    <row r="417" customHeight="1" spans="1:7">
      <c r="A417" t="s">
        <v>16</v>
      </c>
      <c r="B417" t="s">
        <v>4715</v>
      </c>
      <c r="C417" t="s">
        <v>4716</v>
      </c>
      <c r="D417" t="s">
        <v>4738</v>
      </c>
      <c r="E417" t="s">
        <v>4739</v>
      </c>
      <c r="F417" t="s">
        <v>3562</v>
      </c>
      <c r="G417" t="s">
        <v>4740</v>
      </c>
    </row>
    <row r="418" customHeight="1" spans="1:7">
      <c r="A418" t="s">
        <v>16</v>
      </c>
      <c r="B418" t="s">
        <v>4715</v>
      </c>
      <c r="C418" t="s">
        <v>4716</v>
      </c>
      <c r="D418" t="s">
        <v>4741</v>
      </c>
      <c r="E418" t="s">
        <v>4742</v>
      </c>
      <c r="F418" t="s">
        <v>3567</v>
      </c>
      <c r="G418" t="s">
        <v>4743</v>
      </c>
    </row>
    <row r="419" customHeight="1" spans="1:7">
      <c r="A419" t="s">
        <v>16</v>
      </c>
      <c r="B419" t="s">
        <v>4715</v>
      </c>
      <c r="C419" t="s">
        <v>4716</v>
      </c>
      <c r="D419" t="s">
        <v>4744</v>
      </c>
      <c r="E419" t="s">
        <v>4745</v>
      </c>
      <c r="F419" t="s">
        <v>3562</v>
      </c>
      <c r="G419" t="s">
        <v>4746</v>
      </c>
    </row>
    <row r="420" customHeight="1" spans="1:7">
      <c r="A420" t="s">
        <v>16</v>
      </c>
      <c r="B420" t="s">
        <v>4715</v>
      </c>
      <c r="C420" t="s">
        <v>4716</v>
      </c>
      <c r="D420" t="s">
        <v>4747</v>
      </c>
      <c r="E420" t="s">
        <v>4748</v>
      </c>
      <c r="F420" t="s">
        <v>3562</v>
      </c>
      <c r="G420" t="s">
        <v>4749</v>
      </c>
    </row>
    <row r="421" customHeight="1" spans="1:7">
      <c r="A421" t="s">
        <v>16</v>
      </c>
      <c r="B421" t="s">
        <v>4715</v>
      </c>
      <c r="C421" t="s">
        <v>4716</v>
      </c>
      <c r="D421" t="s">
        <v>4715</v>
      </c>
      <c r="E421" t="s">
        <v>4716</v>
      </c>
      <c r="F421" t="s">
        <v>3559</v>
      </c>
      <c r="G421" t="s">
        <v>4750</v>
      </c>
    </row>
    <row r="422" customHeight="1" spans="1:7">
      <c r="A422" t="s">
        <v>16</v>
      </c>
      <c r="B422" t="s">
        <v>4715</v>
      </c>
      <c r="C422" t="s">
        <v>4716</v>
      </c>
      <c r="D422" t="s">
        <v>4751</v>
      </c>
      <c r="E422" t="s">
        <v>4752</v>
      </c>
      <c r="F422" t="s">
        <v>3562</v>
      </c>
      <c r="G422" t="s">
        <v>4753</v>
      </c>
    </row>
    <row r="423" customHeight="1" spans="1:7">
      <c r="A423" t="s">
        <v>16</v>
      </c>
      <c r="B423" t="s">
        <v>4715</v>
      </c>
      <c r="C423" t="s">
        <v>4716</v>
      </c>
      <c r="D423" t="s">
        <v>4754</v>
      </c>
      <c r="E423" t="s">
        <v>4755</v>
      </c>
      <c r="F423" t="s">
        <v>3562</v>
      </c>
      <c r="G423" t="s">
        <v>4756</v>
      </c>
    </row>
    <row r="424" customHeight="1" spans="1:7">
      <c r="A424" t="s">
        <v>16</v>
      </c>
      <c r="B424" t="s">
        <v>4715</v>
      </c>
      <c r="C424" t="s">
        <v>4716</v>
      </c>
      <c r="D424" t="s">
        <v>4757</v>
      </c>
      <c r="E424" t="s">
        <v>4758</v>
      </c>
      <c r="F424" t="s">
        <v>3562</v>
      </c>
      <c r="G424" t="s">
        <v>4759</v>
      </c>
    </row>
    <row r="425" customHeight="1" spans="1:7">
      <c r="A425" t="s">
        <v>16</v>
      </c>
      <c r="B425" t="s">
        <v>4715</v>
      </c>
      <c r="C425" t="s">
        <v>4716</v>
      </c>
      <c r="D425" t="s">
        <v>4229</v>
      </c>
      <c r="E425" t="s">
        <v>4760</v>
      </c>
      <c r="F425" t="s">
        <v>3562</v>
      </c>
      <c r="G425" t="s">
        <v>4761</v>
      </c>
    </row>
    <row r="426" customHeight="1" spans="1:7">
      <c r="A426" t="s">
        <v>16</v>
      </c>
      <c r="B426" t="s">
        <v>4715</v>
      </c>
      <c r="C426" t="s">
        <v>4716</v>
      </c>
      <c r="D426" t="s">
        <v>4762</v>
      </c>
      <c r="E426" t="s">
        <v>4763</v>
      </c>
      <c r="F426" t="s">
        <v>3562</v>
      </c>
      <c r="G426" t="s">
        <v>4764</v>
      </c>
    </row>
    <row r="427" customHeight="1" spans="1:7">
      <c r="A427" t="s">
        <v>16</v>
      </c>
      <c r="B427" t="s">
        <v>4715</v>
      </c>
      <c r="C427" t="s">
        <v>4716</v>
      </c>
      <c r="D427" t="s">
        <v>4765</v>
      </c>
      <c r="E427" t="s">
        <v>4766</v>
      </c>
      <c r="F427" t="s">
        <v>3562</v>
      </c>
      <c r="G427" t="s">
        <v>4767</v>
      </c>
    </row>
    <row r="428" customHeight="1" spans="1:7">
      <c r="A428" t="s">
        <v>16</v>
      </c>
      <c r="B428" t="s">
        <v>4715</v>
      </c>
      <c r="C428" t="s">
        <v>4716</v>
      </c>
      <c r="D428" t="s">
        <v>4768</v>
      </c>
      <c r="E428" t="s">
        <v>4769</v>
      </c>
      <c r="F428" t="s">
        <v>3562</v>
      </c>
      <c r="G428" t="s">
        <v>4770</v>
      </c>
    </row>
    <row r="429" customHeight="1" spans="1:7">
      <c r="A429" t="s">
        <v>16</v>
      </c>
      <c r="B429" t="s">
        <v>4715</v>
      </c>
      <c r="C429" t="s">
        <v>4716</v>
      </c>
      <c r="D429" t="s">
        <v>4771</v>
      </c>
      <c r="E429" t="s">
        <v>4772</v>
      </c>
      <c r="F429" t="s">
        <v>3562</v>
      </c>
      <c r="G429" t="s">
        <v>4773</v>
      </c>
    </row>
    <row r="430" customHeight="1" spans="1:7">
      <c r="A430" t="s">
        <v>16</v>
      </c>
      <c r="B430" t="s">
        <v>4715</v>
      </c>
      <c r="C430" t="s">
        <v>4716</v>
      </c>
      <c r="D430" t="s">
        <v>4774</v>
      </c>
      <c r="E430" t="s">
        <v>4775</v>
      </c>
      <c r="F430" t="s">
        <v>3562</v>
      </c>
      <c r="G430" t="s">
        <v>4776</v>
      </c>
    </row>
    <row r="431" customHeight="1" spans="1:7">
      <c r="A431" t="s">
        <v>16</v>
      </c>
      <c r="B431" t="s">
        <v>4715</v>
      </c>
      <c r="C431" t="s">
        <v>4716</v>
      </c>
      <c r="D431" t="s">
        <v>4777</v>
      </c>
      <c r="E431" t="s">
        <v>4778</v>
      </c>
      <c r="F431" t="s">
        <v>3562</v>
      </c>
      <c r="G431" t="s">
        <v>4779</v>
      </c>
    </row>
    <row r="432" customHeight="1" spans="1:7">
      <c r="A432" t="s">
        <v>16</v>
      </c>
      <c r="B432" t="s">
        <v>4715</v>
      </c>
      <c r="C432" t="s">
        <v>4716</v>
      </c>
      <c r="D432" t="s">
        <v>3652</v>
      </c>
      <c r="E432" t="s">
        <v>4780</v>
      </c>
      <c r="F432" t="s">
        <v>3562</v>
      </c>
      <c r="G432" t="s">
        <v>4781</v>
      </c>
    </row>
    <row r="433" customHeight="1" spans="1:7">
      <c r="A433" t="s">
        <v>16</v>
      </c>
      <c r="B433" t="s">
        <v>4715</v>
      </c>
      <c r="C433" t="s">
        <v>4716</v>
      </c>
      <c r="D433" t="s">
        <v>4782</v>
      </c>
      <c r="E433" t="s">
        <v>4783</v>
      </c>
      <c r="F433" t="s">
        <v>3562</v>
      </c>
      <c r="G433" t="s">
        <v>4784</v>
      </c>
    </row>
    <row r="434" customHeight="1" spans="1:7">
      <c r="A434" t="s">
        <v>16</v>
      </c>
      <c r="B434" t="s">
        <v>4785</v>
      </c>
      <c r="C434" t="s">
        <v>4786</v>
      </c>
      <c r="D434" t="s">
        <v>4787</v>
      </c>
      <c r="E434" t="s">
        <v>4788</v>
      </c>
      <c r="F434" t="s">
        <v>3562</v>
      </c>
      <c r="G434" t="s">
        <v>4789</v>
      </c>
    </row>
    <row r="435" customHeight="1" spans="1:7">
      <c r="A435" t="s">
        <v>16</v>
      </c>
      <c r="B435" t="s">
        <v>4785</v>
      </c>
      <c r="C435" t="s">
        <v>4786</v>
      </c>
      <c r="D435" t="s">
        <v>4790</v>
      </c>
      <c r="E435" t="s">
        <v>4791</v>
      </c>
      <c r="F435" t="s">
        <v>3562</v>
      </c>
      <c r="G435" t="s">
        <v>4792</v>
      </c>
    </row>
    <row r="436" customHeight="1" spans="1:7">
      <c r="A436" t="s">
        <v>16</v>
      </c>
      <c r="B436" t="s">
        <v>4785</v>
      </c>
      <c r="C436" t="s">
        <v>4786</v>
      </c>
      <c r="D436" t="s">
        <v>4793</v>
      </c>
      <c r="E436" t="s">
        <v>4794</v>
      </c>
      <c r="F436" t="s">
        <v>3562</v>
      </c>
      <c r="G436" t="s">
        <v>4795</v>
      </c>
    </row>
    <row r="437" customHeight="1" spans="1:7">
      <c r="A437" t="s">
        <v>16</v>
      </c>
      <c r="B437" t="s">
        <v>4785</v>
      </c>
      <c r="C437" t="s">
        <v>4786</v>
      </c>
      <c r="D437" t="s">
        <v>4796</v>
      </c>
      <c r="E437" t="s">
        <v>4797</v>
      </c>
      <c r="F437" t="s">
        <v>3562</v>
      </c>
      <c r="G437" t="s">
        <v>4798</v>
      </c>
    </row>
    <row r="438" customHeight="1" spans="1:7">
      <c r="A438" t="s">
        <v>16</v>
      </c>
      <c r="B438" t="s">
        <v>4785</v>
      </c>
      <c r="C438" t="s">
        <v>4786</v>
      </c>
      <c r="D438" t="s">
        <v>4799</v>
      </c>
      <c r="E438" t="s">
        <v>4800</v>
      </c>
      <c r="F438" t="s">
        <v>3562</v>
      </c>
      <c r="G438" t="s">
        <v>4801</v>
      </c>
    </row>
    <row r="439" customHeight="1" spans="1:7">
      <c r="A439" t="s">
        <v>16</v>
      </c>
      <c r="B439" t="s">
        <v>4785</v>
      </c>
      <c r="C439" t="s">
        <v>4786</v>
      </c>
      <c r="D439" t="s">
        <v>4802</v>
      </c>
      <c r="E439" t="s">
        <v>4803</v>
      </c>
      <c r="F439" t="s">
        <v>3562</v>
      </c>
      <c r="G439" t="s">
        <v>4804</v>
      </c>
    </row>
    <row r="440" customHeight="1" spans="1:7">
      <c r="A440" t="s">
        <v>16</v>
      </c>
      <c r="B440" t="s">
        <v>4785</v>
      </c>
      <c r="C440" t="s">
        <v>4786</v>
      </c>
      <c r="D440" t="s">
        <v>4805</v>
      </c>
      <c r="E440" t="s">
        <v>4806</v>
      </c>
      <c r="F440" t="s">
        <v>3562</v>
      </c>
      <c r="G440" t="s">
        <v>4807</v>
      </c>
    </row>
    <row r="441" customHeight="1" spans="1:7">
      <c r="A441" t="s">
        <v>16</v>
      </c>
      <c r="B441" t="s">
        <v>4785</v>
      </c>
      <c r="C441" t="s">
        <v>4786</v>
      </c>
      <c r="D441" t="s">
        <v>4808</v>
      </c>
      <c r="E441" t="s">
        <v>4809</v>
      </c>
      <c r="F441" t="s">
        <v>3562</v>
      </c>
      <c r="G441" t="s">
        <v>4810</v>
      </c>
    </row>
    <row r="442" customHeight="1" spans="1:7">
      <c r="A442" t="s">
        <v>16</v>
      </c>
      <c r="B442" t="s">
        <v>4785</v>
      </c>
      <c r="C442" t="s">
        <v>4786</v>
      </c>
      <c r="D442" t="s">
        <v>4811</v>
      </c>
      <c r="E442" t="s">
        <v>4812</v>
      </c>
      <c r="F442" t="s">
        <v>3567</v>
      </c>
      <c r="G442" t="s">
        <v>4813</v>
      </c>
    </row>
    <row r="443" customHeight="1" spans="1:7">
      <c r="A443" t="s">
        <v>16</v>
      </c>
      <c r="B443" t="s">
        <v>4785</v>
      </c>
      <c r="C443" t="s">
        <v>4786</v>
      </c>
      <c r="D443" t="s">
        <v>4785</v>
      </c>
      <c r="E443" t="s">
        <v>4786</v>
      </c>
      <c r="F443" t="s">
        <v>3559</v>
      </c>
      <c r="G443" t="s">
        <v>4814</v>
      </c>
    </row>
    <row r="444" customHeight="1" spans="1:7">
      <c r="A444" t="s">
        <v>16</v>
      </c>
      <c r="B444" t="s">
        <v>4785</v>
      </c>
      <c r="C444" t="s">
        <v>4786</v>
      </c>
      <c r="D444" t="s">
        <v>4815</v>
      </c>
      <c r="E444" t="s">
        <v>4816</v>
      </c>
      <c r="F444" t="s">
        <v>3562</v>
      </c>
      <c r="G444" t="s">
        <v>4817</v>
      </c>
    </row>
    <row r="445" customHeight="1" spans="1:7">
      <c r="A445" t="s">
        <v>16</v>
      </c>
      <c r="B445" t="s">
        <v>4785</v>
      </c>
      <c r="C445" t="s">
        <v>4786</v>
      </c>
      <c r="D445" t="s">
        <v>4818</v>
      </c>
      <c r="E445" t="s">
        <v>4819</v>
      </c>
      <c r="F445" t="s">
        <v>3562</v>
      </c>
      <c r="G445" t="s">
        <v>4820</v>
      </c>
    </row>
    <row r="446" customHeight="1" spans="1:7">
      <c r="A446" t="s">
        <v>16</v>
      </c>
      <c r="B446" t="s">
        <v>4785</v>
      </c>
      <c r="C446" t="s">
        <v>4786</v>
      </c>
      <c r="D446" t="s">
        <v>4821</v>
      </c>
      <c r="E446" t="s">
        <v>4822</v>
      </c>
      <c r="F446" t="s">
        <v>3562</v>
      </c>
      <c r="G446" t="s">
        <v>4823</v>
      </c>
    </row>
    <row r="447" customHeight="1" spans="1:7">
      <c r="A447" t="s">
        <v>16</v>
      </c>
      <c r="B447" t="s">
        <v>4785</v>
      </c>
      <c r="C447" t="s">
        <v>4786</v>
      </c>
      <c r="D447" t="s">
        <v>4824</v>
      </c>
      <c r="E447" t="s">
        <v>4825</v>
      </c>
      <c r="F447" t="s">
        <v>3562</v>
      </c>
      <c r="G447" t="s">
        <v>4826</v>
      </c>
    </row>
    <row r="448" customHeight="1" spans="1:7">
      <c r="A448" t="s">
        <v>16</v>
      </c>
      <c r="B448" t="s">
        <v>4785</v>
      </c>
      <c r="C448" t="s">
        <v>4786</v>
      </c>
      <c r="D448" t="s">
        <v>4827</v>
      </c>
      <c r="E448" t="s">
        <v>4828</v>
      </c>
      <c r="F448" t="s">
        <v>3562</v>
      </c>
      <c r="G448" t="s">
        <v>4829</v>
      </c>
    </row>
    <row r="449" customHeight="1" spans="1:7">
      <c r="A449" t="s">
        <v>16</v>
      </c>
      <c r="B449" t="s">
        <v>4785</v>
      </c>
      <c r="C449" t="s">
        <v>4786</v>
      </c>
      <c r="D449" t="s">
        <v>4830</v>
      </c>
      <c r="E449" t="s">
        <v>4831</v>
      </c>
      <c r="F449" t="s">
        <v>3562</v>
      </c>
      <c r="G449" t="s">
        <v>4832</v>
      </c>
    </row>
    <row r="450" customHeight="1" spans="1:7">
      <c r="A450" t="s">
        <v>16</v>
      </c>
      <c r="B450" t="s">
        <v>4785</v>
      </c>
      <c r="C450" t="s">
        <v>4786</v>
      </c>
      <c r="D450" t="s">
        <v>4429</v>
      </c>
      <c r="E450" t="s">
        <v>4833</v>
      </c>
      <c r="F450" t="s">
        <v>3562</v>
      </c>
      <c r="G450" t="s">
        <v>4834</v>
      </c>
    </row>
    <row r="451" customHeight="1" spans="1:7">
      <c r="A451" t="s">
        <v>16</v>
      </c>
      <c r="B451" t="s">
        <v>4785</v>
      </c>
      <c r="C451" t="s">
        <v>4786</v>
      </c>
      <c r="D451" t="s">
        <v>4506</v>
      </c>
      <c r="E451" t="s">
        <v>4835</v>
      </c>
      <c r="F451" t="s">
        <v>3562</v>
      </c>
      <c r="G451" t="s">
        <v>4836</v>
      </c>
    </row>
    <row r="452" customHeight="1" spans="1:7">
      <c r="A452" t="s">
        <v>16</v>
      </c>
      <c r="B452" t="s">
        <v>4785</v>
      </c>
      <c r="C452" t="s">
        <v>4786</v>
      </c>
      <c r="D452" t="s">
        <v>4837</v>
      </c>
      <c r="E452" t="s">
        <v>4838</v>
      </c>
      <c r="F452" t="s">
        <v>3562</v>
      </c>
      <c r="G452" t="s">
        <v>4839</v>
      </c>
    </row>
    <row r="453" customHeight="1" spans="1:7">
      <c r="A453" t="s">
        <v>16</v>
      </c>
      <c r="B453" t="s">
        <v>4785</v>
      </c>
      <c r="C453" t="s">
        <v>4786</v>
      </c>
      <c r="D453" t="s">
        <v>4840</v>
      </c>
      <c r="E453" t="s">
        <v>4841</v>
      </c>
      <c r="F453" t="s">
        <v>3562</v>
      </c>
      <c r="G453" t="s">
        <v>4842</v>
      </c>
    </row>
    <row r="454" customHeight="1" spans="1:7">
      <c r="A454" t="s">
        <v>16</v>
      </c>
      <c r="B454" t="s">
        <v>4785</v>
      </c>
      <c r="C454" t="s">
        <v>4786</v>
      </c>
      <c r="D454" t="s">
        <v>4843</v>
      </c>
      <c r="E454" t="s">
        <v>4844</v>
      </c>
      <c r="F454" t="s">
        <v>3562</v>
      </c>
      <c r="G454" t="s">
        <v>4845</v>
      </c>
    </row>
    <row r="455" customHeight="1" spans="1:7">
      <c r="A455" t="s">
        <v>16</v>
      </c>
      <c r="B455" t="s">
        <v>4785</v>
      </c>
      <c r="C455" t="s">
        <v>4786</v>
      </c>
      <c r="D455" t="s">
        <v>4846</v>
      </c>
      <c r="E455" t="s">
        <v>4847</v>
      </c>
      <c r="F455" t="s">
        <v>3562</v>
      </c>
      <c r="G455" t="s">
        <v>4848</v>
      </c>
    </row>
    <row r="456" customHeight="1" spans="1:7">
      <c r="A456" t="s">
        <v>16</v>
      </c>
      <c r="B456" t="s">
        <v>4785</v>
      </c>
      <c r="C456" t="s">
        <v>4786</v>
      </c>
      <c r="D456" t="s">
        <v>4849</v>
      </c>
      <c r="E456" t="s">
        <v>4850</v>
      </c>
      <c r="F456" t="s">
        <v>3562</v>
      </c>
      <c r="G456" t="s">
        <v>4851</v>
      </c>
    </row>
    <row r="457" customHeight="1" spans="1:7">
      <c r="A457" t="s">
        <v>16</v>
      </c>
      <c r="B457" t="s">
        <v>4785</v>
      </c>
      <c r="C457" t="s">
        <v>4786</v>
      </c>
      <c r="D457" t="s">
        <v>4852</v>
      </c>
      <c r="E457" t="s">
        <v>4853</v>
      </c>
      <c r="F457" t="s">
        <v>3664</v>
      </c>
      <c r="G457" t="s">
        <v>4854</v>
      </c>
    </row>
    <row r="458" customHeight="1" spans="1:7">
      <c r="A458" t="s">
        <v>16</v>
      </c>
      <c r="B458" t="s">
        <v>4785</v>
      </c>
      <c r="C458" t="s">
        <v>4786</v>
      </c>
      <c r="D458" t="s">
        <v>4855</v>
      </c>
      <c r="E458" t="s">
        <v>4856</v>
      </c>
      <c r="F458" t="s">
        <v>3664</v>
      </c>
      <c r="G458" t="s">
        <v>4857</v>
      </c>
    </row>
    <row r="459" customHeight="1" spans="1:7">
      <c r="A459" t="s">
        <v>16</v>
      </c>
      <c r="B459" t="s">
        <v>4858</v>
      </c>
      <c r="C459" t="s">
        <v>4859</v>
      </c>
      <c r="D459" t="s">
        <v>4860</v>
      </c>
      <c r="E459" t="s">
        <v>4861</v>
      </c>
      <c r="F459" t="s">
        <v>3562</v>
      </c>
      <c r="G459" t="s">
        <v>4862</v>
      </c>
    </row>
    <row r="460" customHeight="1" spans="1:7">
      <c r="A460" t="s">
        <v>16</v>
      </c>
      <c r="B460" t="s">
        <v>4858</v>
      </c>
      <c r="C460" t="s">
        <v>4859</v>
      </c>
      <c r="D460" t="s">
        <v>4863</v>
      </c>
      <c r="E460" t="s">
        <v>4864</v>
      </c>
      <c r="F460" t="s">
        <v>3562</v>
      </c>
      <c r="G460" t="s">
        <v>4865</v>
      </c>
    </row>
    <row r="461" customHeight="1" spans="1:7">
      <c r="A461" t="s">
        <v>16</v>
      </c>
      <c r="B461" t="s">
        <v>4858</v>
      </c>
      <c r="C461" t="s">
        <v>4859</v>
      </c>
      <c r="D461" t="s">
        <v>4866</v>
      </c>
      <c r="E461" t="s">
        <v>4867</v>
      </c>
      <c r="F461" t="s">
        <v>3562</v>
      </c>
      <c r="G461" t="s">
        <v>4868</v>
      </c>
    </row>
    <row r="462" customHeight="1" spans="1:7">
      <c r="A462" t="s">
        <v>16</v>
      </c>
      <c r="B462" t="s">
        <v>4858</v>
      </c>
      <c r="C462" t="s">
        <v>4859</v>
      </c>
      <c r="D462" t="s">
        <v>4869</v>
      </c>
      <c r="E462" t="s">
        <v>4870</v>
      </c>
      <c r="F462" t="s">
        <v>3562</v>
      </c>
      <c r="G462" t="s">
        <v>4871</v>
      </c>
    </row>
    <row r="463" customHeight="1" spans="1:7">
      <c r="A463" t="s">
        <v>16</v>
      </c>
      <c r="B463" t="s">
        <v>4858</v>
      </c>
      <c r="C463" t="s">
        <v>4859</v>
      </c>
      <c r="D463" t="s">
        <v>4872</v>
      </c>
      <c r="E463" t="s">
        <v>4873</v>
      </c>
      <c r="F463" t="s">
        <v>3562</v>
      </c>
      <c r="G463" t="s">
        <v>4874</v>
      </c>
    </row>
    <row r="464" customHeight="1" spans="1:7">
      <c r="A464" t="s">
        <v>16</v>
      </c>
      <c r="B464" t="s">
        <v>4858</v>
      </c>
      <c r="C464" t="s">
        <v>4859</v>
      </c>
      <c r="D464" t="s">
        <v>4858</v>
      </c>
      <c r="E464" t="s">
        <v>4859</v>
      </c>
      <c r="F464" t="s">
        <v>3559</v>
      </c>
      <c r="G464" t="s">
        <v>4875</v>
      </c>
    </row>
    <row r="465" customHeight="1" spans="1:7">
      <c r="A465" t="s">
        <v>16</v>
      </c>
      <c r="B465" t="s">
        <v>4858</v>
      </c>
      <c r="C465" t="s">
        <v>4859</v>
      </c>
      <c r="D465" t="s">
        <v>4876</v>
      </c>
      <c r="E465" t="s">
        <v>4877</v>
      </c>
      <c r="F465" t="s">
        <v>3562</v>
      </c>
      <c r="G465" t="s">
        <v>4878</v>
      </c>
    </row>
    <row r="466" customHeight="1" spans="1:7">
      <c r="A466" t="s">
        <v>16</v>
      </c>
      <c r="B466" t="s">
        <v>4858</v>
      </c>
      <c r="C466" t="s">
        <v>4859</v>
      </c>
      <c r="D466" t="s">
        <v>4879</v>
      </c>
      <c r="E466" t="s">
        <v>4880</v>
      </c>
      <c r="F466" t="s">
        <v>3562</v>
      </c>
      <c r="G466" t="s">
        <v>4881</v>
      </c>
    </row>
    <row r="467" customHeight="1" spans="1:7">
      <c r="A467" t="s">
        <v>16</v>
      </c>
      <c r="B467" t="s">
        <v>4858</v>
      </c>
      <c r="C467" t="s">
        <v>4859</v>
      </c>
      <c r="D467" t="s">
        <v>4882</v>
      </c>
      <c r="E467" t="s">
        <v>4883</v>
      </c>
      <c r="F467" t="s">
        <v>3562</v>
      </c>
      <c r="G467" t="s">
        <v>4884</v>
      </c>
    </row>
    <row r="468" customHeight="1" spans="1:7">
      <c r="A468" t="s">
        <v>16</v>
      </c>
      <c r="B468" t="s">
        <v>4858</v>
      </c>
      <c r="C468" t="s">
        <v>4859</v>
      </c>
      <c r="D468" t="s">
        <v>4885</v>
      </c>
      <c r="E468" t="s">
        <v>4886</v>
      </c>
      <c r="F468" t="s">
        <v>3562</v>
      </c>
      <c r="G468" t="s">
        <v>4887</v>
      </c>
    </row>
    <row r="469" customHeight="1" spans="1:7">
      <c r="A469" t="s">
        <v>16</v>
      </c>
      <c r="B469" t="s">
        <v>4858</v>
      </c>
      <c r="C469" t="s">
        <v>4859</v>
      </c>
      <c r="D469" t="s">
        <v>4888</v>
      </c>
      <c r="E469" t="s">
        <v>4889</v>
      </c>
      <c r="F469" t="s">
        <v>3562</v>
      </c>
      <c r="G469" t="s">
        <v>4890</v>
      </c>
    </row>
    <row r="470" customHeight="1" spans="1:7">
      <c r="A470" t="s">
        <v>16</v>
      </c>
      <c r="B470" t="s">
        <v>4858</v>
      </c>
      <c r="C470" t="s">
        <v>4859</v>
      </c>
      <c r="D470" t="s">
        <v>4891</v>
      </c>
      <c r="E470" t="s">
        <v>4892</v>
      </c>
      <c r="F470" t="s">
        <v>3562</v>
      </c>
      <c r="G470" t="s">
        <v>4893</v>
      </c>
    </row>
    <row r="471" customHeight="1" spans="1:7">
      <c r="A471" t="s">
        <v>16</v>
      </c>
      <c r="B471" t="s">
        <v>4858</v>
      </c>
      <c r="C471" t="s">
        <v>4859</v>
      </c>
      <c r="D471" t="s">
        <v>4894</v>
      </c>
      <c r="E471" t="s">
        <v>4895</v>
      </c>
      <c r="F471" t="s">
        <v>3562</v>
      </c>
      <c r="G471" t="s">
        <v>4896</v>
      </c>
    </row>
    <row r="472" customHeight="1" spans="1:7">
      <c r="A472" t="s">
        <v>16</v>
      </c>
      <c r="B472" t="s">
        <v>4858</v>
      </c>
      <c r="C472" t="s">
        <v>4859</v>
      </c>
      <c r="D472" t="s">
        <v>4897</v>
      </c>
      <c r="E472" t="s">
        <v>4898</v>
      </c>
      <c r="F472" t="s">
        <v>3562</v>
      </c>
      <c r="G472" t="s">
        <v>4899</v>
      </c>
    </row>
    <row r="473" customHeight="1" spans="1:7">
      <c r="A473" t="s">
        <v>16</v>
      </c>
      <c r="B473" t="s">
        <v>4858</v>
      </c>
      <c r="C473" t="s">
        <v>4859</v>
      </c>
      <c r="D473" t="s">
        <v>4900</v>
      </c>
      <c r="E473" t="s">
        <v>4901</v>
      </c>
      <c r="F473" t="s">
        <v>3562</v>
      </c>
      <c r="G473" t="s">
        <v>4902</v>
      </c>
    </row>
    <row r="474" customHeight="1" spans="1:7">
      <c r="A474" t="s">
        <v>16</v>
      </c>
      <c r="B474" t="s">
        <v>4858</v>
      </c>
      <c r="C474" t="s">
        <v>4859</v>
      </c>
      <c r="D474" t="s">
        <v>4903</v>
      </c>
      <c r="E474" t="s">
        <v>4904</v>
      </c>
      <c r="F474" t="s">
        <v>3562</v>
      </c>
      <c r="G474" t="s">
        <v>4905</v>
      </c>
    </row>
    <row r="475" customHeight="1" spans="1:7">
      <c r="A475" t="s">
        <v>16</v>
      </c>
      <c r="B475" t="s">
        <v>4858</v>
      </c>
      <c r="C475" t="s">
        <v>4859</v>
      </c>
      <c r="D475" t="s">
        <v>4906</v>
      </c>
      <c r="E475" t="s">
        <v>4907</v>
      </c>
      <c r="F475" t="s">
        <v>3562</v>
      </c>
      <c r="G475" t="s">
        <v>4908</v>
      </c>
    </row>
    <row r="476" customHeight="1" spans="1:7">
      <c r="A476" t="s">
        <v>16</v>
      </c>
      <c r="B476" t="s">
        <v>4858</v>
      </c>
      <c r="C476" t="s">
        <v>4859</v>
      </c>
      <c r="D476" t="s">
        <v>4909</v>
      </c>
      <c r="E476" t="s">
        <v>4910</v>
      </c>
      <c r="F476" t="s">
        <v>3562</v>
      </c>
      <c r="G476" t="s">
        <v>4911</v>
      </c>
    </row>
    <row r="477" customHeight="1" spans="1:7">
      <c r="A477" t="s">
        <v>16</v>
      </c>
      <c r="B477" t="s">
        <v>4912</v>
      </c>
      <c r="C477" t="s">
        <v>4913</v>
      </c>
      <c r="D477" t="s">
        <v>3614</v>
      </c>
      <c r="E477" t="s">
        <v>4914</v>
      </c>
      <c r="F477" t="s">
        <v>3562</v>
      </c>
      <c r="G477" t="s">
        <v>4915</v>
      </c>
    </row>
    <row r="478" customHeight="1" spans="1:7">
      <c r="A478" t="s">
        <v>16</v>
      </c>
      <c r="B478" t="s">
        <v>4912</v>
      </c>
      <c r="C478" t="s">
        <v>4913</v>
      </c>
      <c r="D478" t="s">
        <v>4916</v>
      </c>
      <c r="E478" t="s">
        <v>4917</v>
      </c>
      <c r="F478" t="s">
        <v>3562</v>
      </c>
      <c r="G478" t="s">
        <v>4918</v>
      </c>
    </row>
    <row r="479" customHeight="1" spans="1:7">
      <c r="A479" t="s">
        <v>16</v>
      </c>
      <c r="B479" t="s">
        <v>4912</v>
      </c>
      <c r="C479" t="s">
        <v>4913</v>
      </c>
      <c r="D479" t="s">
        <v>4919</v>
      </c>
      <c r="E479" t="s">
        <v>4920</v>
      </c>
      <c r="F479" t="s">
        <v>3562</v>
      </c>
      <c r="G479" t="s">
        <v>4921</v>
      </c>
    </row>
    <row r="480" customHeight="1" spans="1:7">
      <c r="A480" t="s">
        <v>16</v>
      </c>
      <c r="B480" t="s">
        <v>4912</v>
      </c>
      <c r="C480" t="s">
        <v>4913</v>
      </c>
      <c r="D480" t="s">
        <v>4922</v>
      </c>
      <c r="E480" t="s">
        <v>4923</v>
      </c>
      <c r="F480" t="s">
        <v>3562</v>
      </c>
      <c r="G480" t="s">
        <v>4924</v>
      </c>
    </row>
    <row r="481" customHeight="1" spans="1:7">
      <c r="A481" t="s">
        <v>16</v>
      </c>
      <c r="B481" t="s">
        <v>4912</v>
      </c>
      <c r="C481" t="s">
        <v>4913</v>
      </c>
      <c r="D481" t="s">
        <v>4925</v>
      </c>
      <c r="E481" t="s">
        <v>4926</v>
      </c>
      <c r="F481" t="s">
        <v>3562</v>
      </c>
      <c r="G481" t="s">
        <v>4927</v>
      </c>
    </row>
    <row r="482" customHeight="1" spans="1:7">
      <c r="A482" t="s">
        <v>16</v>
      </c>
      <c r="B482" t="s">
        <v>4912</v>
      </c>
      <c r="C482" t="s">
        <v>4913</v>
      </c>
      <c r="D482" t="s">
        <v>4928</v>
      </c>
      <c r="E482" t="s">
        <v>4929</v>
      </c>
      <c r="F482" t="s">
        <v>3562</v>
      </c>
      <c r="G482" t="s">
        <v>4930</v>
      </c>
    </row>
    <row r="483" customHeight="1" spans="1:7">
      <c r="A483" t="s">
        <v>16</v>
      </c>
      <c r="B483" t="s">
        <v>4912</v>
      </c>
      <c r="C483" t="s">
        <v>4913</v>
      </c>
      <c r="D483" t="s">
        <v>4912</v>
      </c>
      <c r="E483" t="s">
        <v>4913</v>
      </c>
      <c r="F483" t="s">
        <v>3559</v>
      </c>
      <c r="G483" t="s">
        <v>4931</v>
      </c>
    </row>
    <row r="484" customHeight="1" spans="1:7">
      <c r="A484" t="s">
        <v>16</v>
      </c>
      <c r="B484" t="s">
        <v>4912</v>
      </c>
      <c r="C484" t="s">
        <v>4913</v>
      </c>
      <c r="D484" t="s">
        <v>4932</v>
      </c>
      <c r="E484" t="s">
        <v>4933</v>
      </c>
      <c r="F484" t="s">
        <v>3562</v>
      </c>
      <c r="G484" t="s">
        <v>4934</v>
      </c>
    </row>
    <row r="485" customHeight="1" spans="1:7">
      <c r="A485" t="s">
        <v>16</v>
      </c>
      <c r="B485" t="s">
        <v>4912</v>
      </c>
      <c r="C485" t="s">
        <v>4913</v>
      </c>
      <c r="D485" t="s">
        <v>4935</v>
      </c>
      <c r="E485" t="s">
        <v>4936</v>
      </c>
      <c r="F485" t="s">
        <v>3562</v>
      </c>
      <c r="G485" t="s">
        <v>4937</v>
      </c>
    </row>
    <row r="486" customHeight="1" spans="1:7">
      <c r="A486" t="s">
        <v>16</v>
      </c>
      <c r="B486" t="s">
        <v>4912</v>
      </c>
      <c r="C486" t="s">
        <v>4913</v>
      </c>
      <c r="D486" t="s">
        <v>4938</v>
      </c>
      <c r="E486" t="s">
        <v>4939</v>
      </c>
      <c r="F486" t="s">
        <v>3562</v>
      </c>
      <c r="G486" t="s">
        <v>4940</v>
      </c>
    </row>
    <row r="487" customHeight="1" spans="1:7">
      <c r="A487" t="s">
        <v>16</v>
      </c>
      <c r="B487" t="s">
        <v>4912</v>
      </c>
      <c r="C487" t="s">
        <v>4913</v>
      </c>
      <c r="D487" t="s">
        <v>4941</v>
      </c>
      <c r="E487" t="s">
        <v>4942</v>
      </c>
      <c r="F487" t="s">
        <v>3562</v>
      </c>
      <c r="G487" t="s">
        <v>4943</v>
      </c>
    </row>
    <row r="488" customHeight="1" spans="1:7">
      <c r="A488" t="s">
        <v>16</v>
      </c>
      <c r="B488" t="s">
        <v>4912</v>
      </c>
      <c r="C488" t="s">
        <v>4913</v>
      </c>
      <c r="D488" t="s">
        <v>4944</v>
      </c>
      <c r="E488" t="s">
        <v>4945</v>
      </c>
      <c r="F488" t="s">
        <v>3562</v>
      </c>
      <c r="G488" t="s">
        <v>4946</v>
      </c>
    </row>
    <row r="489" customHeight="1" spans="1:7">
      <c r="A489" t="s">
        <v>16</v>
      </c>
      <c r="B489" t="s">
        <v>4912</v>
      </c>
      <c r="C489" t="s">
        <v>4913</v>
      </c>
      <c r="D489" t="s">
        <v>4947</v>
      </c>
      <c r="E489" t="s">
        <v>4948</v>
      </c>
      <c r="F489" t="s">
        <v>3562</v>
      </c>
      <c r="G489" t="s">
        <v>4949</v>
      </c>
    </row>
    <row r="490" customHeight="1" spans="1:7">
      <c r="A490" t="s">
        <v>16</v>
      </c>
      <c r="B490" t="s">
        <v>4912</v>
      </c>
      <c r="C490" t="s">
        <v>4913</v>
      </c>
      <c r="D490" t="s">
        <v>4950</v>
      </c>
      <c r="E490" t="s">
        <v>4951</v>
      </c>
      <c r="F490" t="s">
        <v>3562</v>
      </c>
      <c r="G490" t="s">
        <v>4952</v>
      </c>
    </row>
    <row r="491" customHeight="1" spans="1:7">
      <c r="A491" t="s">
        <v>16</v>
      </c>
      <c r="B491" t="s">
        <v>4912</v>
      </c>
      <c r="C491" t="s">
        <v>4913</v>
      </c>
      <c r="D491" t="s">
        <v>4953</v>
      </c>
      <c r="E491" t="s">
        <v>4954</v>
      </c>
      <c r="F491" t="s">
        <v>3562</v>
      </c>
      <c r="G491" t="s">
        <v>4955</v>
      </c>
    </row>
    <row r="492" customHeight="1" spans="1:7">
      <c r="A492" t="s">
        <v>16</v>
      </c>
      <c r="B492" t="s">
        <v>4912</v>
      </c>
      <c r="C492" t="s">
        <v>4913</v>
      </c>
      <c r="D492" t="s">
        <v>4956</v>
      </c>
      <c r="E492" t="s">
        <v>4957</v>
      </c>
      <c r="F492" t="s">
        <v>3562</v>
      </c>
      <c r="G492" t="s">
        <v>4958</v>
      </c>
    </row>
    <row r="493" customHeight="1" spans="1:7">
      <c r="A493" t="s">
        <v>16</v>
      </c>
      <c r="B493" t="s">
        <v>4912</v>
      </c>
      <c r="C493" t="s">
        <v>4913</v>
      </c>
      <c r="D493" t="s">
        <v>4959</v>
      </c>
      <c r="E493" t="s">
        <v>4960</v>
      </c>
      <c r="F493" t="s">
        <v>3562</v>
      </c>
      <c r="G493" t="s">
        <v>4961</v>
      </c>
    </row>
    <row r="494" customHeight="1" spans="1:7">
      <c r="A494" t="s">
        <v>16</v>
      </c>
      <c r="B494" t="s">
        <v>4912</v>
      </c>
      <c r="C494" t="s">
        <v>4913</v>
      </c>
      <c r="D494" t="s">
        <v>4962</v>
      </c>
      <c r="E494" t="s">
        <v>4963</v>
      </c>
      <c r="F494" t="s">
        <v>3562</v>
      </c>
      <c r="G494" t="s">
        <v>4964</v>
      </c>
    </row>
    <row r="495" customHeight="1" spans="1:7">
      <c r="A495" t="s">
        <v>16</v>
      </c>
      <c r="B495" t="s">
        <v>4912</v>
      </c>
      <c r="C495" t="s">
        <v>4913</v>
      </c>
      <c r="D495" t="s">
        <v>4965</v>
      </c>
      <c r="E495" t="s">
        <v>4966</v>
      </c>
      <c r="F495" t="s">
        <v>3664</v>
      </c>
      <c r="G495" t="s">
        <v>4967</v>
      </c>
    </row>
    <row r="496" customHeight="1" spans="1:7">
      <c r="A496" t="s">
        <v>16</v>
      </c>
      <c r="B496" t="s">
        <v>4912</v>
      </c>
      <c r="C496" t="s">
        <v>4913</v>
      </c>
      <c r="D496" t="s">
        <v>4968</v>
      </c>
      <c r="E496" t="s">
        <v>4969</v>
      </c>
      <c r="F496" t="s">
        <v>3664</v>
      </c>
      <c r="G496" t="s">
        <v>4970</v>
      </c>
    </row>
    <row r="497" customHeight="1" spans="1:7">
      <c r="A497" t="s">
        <v>16</v>
      </c>
      <c r="B497" t="s">
        <v>4912</v>
      </c>
      <c r="C497" t="s">
        <v>4913</v>
      </c>
      <c r="D497" t="s">
        <v>4971</v>
      </c>
      <c r="E497" t="s">
        <v>4972</v>
      </c>
      <c r="F497" t="s">
        <v>3664</v>
      </c>
      <c r="G497" t="s">
        <v>4973</v>
      </c>
    </row>
    <row r="498" customHeight="1" spans="1:7">
      <c r="A498" t="s">
        <v>16</v>
      </c>
      <c r="B498" t="s">
        <v>4974</v>
      </c>
      <c r="C498" t="s">
        <v>4975</v>
      </c>
      <c r="D498" t="s">
        <v>4976</v>
      </c>
      <c r="E498" t="s">
        <v>4977</v>
      </c>
      <c r="F498" t="s">
        <v>3562</v>
      </c>
      <c r="G498" t="s">
        <v>4978</v>
      </c>
    </row>
    <row r="499" customHeight="1" spans="1:7">
      <c r="A499" t="s">
        <v>16</v>
      </c>
      <c r="B499" t="s">
        <v>4974</v>
      </c>
      <c r="C499" t="s">
        <v>4975</v>
      </c>
      <c r="D499" t="s">
        <v>4979</v>
      </c>
      <c r="E499" t="s">
        <v>4980</v>
      </c>
      <c r="F499" t="s">
        <v>3562</v>
      </c>
      <c r="G499" t="s">
        <v>4981</v>
      </c>
    </row>
    <row r="500" customHeight="1" spans="1:7">
      <c r="A500" t="s">
        <v>16</v>
      </c>
      <c r="B500" t="s">
        <v>4974</v>
      </c>
      <c r="C500" t="s">
        <v>4975</v>
      </c>
      <c r="D500" t="s">
        <v>4982</v>
      </c>
      <c r="E500" t="s">
        <v>4983</v>
      </c>
      <c r="F500" t="s">
        <v>3562</v>
      </c>
      <c r="G500" t="s">
        <v>4984</v>
      </c>
    </row>
    <row r="501" customHeight="1" spans="1:7">
      <c r="A501" t="s">
        <v>16</v>
      </c>
      <c r="B501" t="s">
        <v>4974</v>
      </c>
      <c r="C501" t="s">
        <v>4975</v>
      </c>
      <c r="D501" t="s">
        <v>4985</v>
      </c>
      <c r="E501" t="s">
        <v>4986</v>
      </c>
      <c r="F501" t="s">
        <v>3562</v>
      </c>
      <c r="G501" t="s">
        <v>4987</v>
      </c>
    </row>
    <row r="502" customHeight="1" spans="1:7">
      <c r="A502" t="s">
        <v>16</v>
      </c>
      <c r="B502" t="s">
        <v>4974</v>
      </c>
      <c r="C502" t="s">
        <v>4975</v>
      </c>
      <c r="D502" t="s">
        <v>4988</v>
      </c>
      <c r="E502" t="s">
        <v>4989</v>
      </c>
      <c r="F502" t="s">
        <v>3562</v>
      </c>
      <c r="G502" t="s">
        <v>4990</v>
      </c>
    </row>
    <row r="503" customHeight="1" spans="1:7">
      <c r="A503" t="s">
        <v>16</v>
      </c>
      <c r="B503" t="s">
        <v>4974</v>
      </c>
      <c r="C503" t="s">
        <v>4975</v>
      </c>
      <c r="D503" t="s">
        <v>4991</v>
      </c>
      <c r="E503" t="s">
        <v>4992</v>
      </c>
      <c r="F503" t="s">
        <v>3562</v>
      </c>
      <c r="G503" t="s">
        <v>4993</v>
      </c>
    </row>
    <row r="504" customHeight="1" spans="1:7">
      <c r="A504" t="s">
        <v>16</v>
      </c>
      <c r="B504" t="s">
        <v>4974</v>
      </c>
      <c r="C504" t="s">
        <v>4975</v>
      </c>
      <c r="D504" t="s">
        <v>4994</v>
      </c>
      <c r="E504" t="s">
        <v>4995</v>
      </c>
      <c r="F504" t="s">
        <v>3562</v>
      </c>
      <c r="G504" t="s">
        <v>4996</v>
      </c>
    </row>
    <row r="505" customHeight="1" spans="1:7">
      <c r="A505" t="s">
        <v>16</v>
      </c>
      <c r="B505" t="s">
        <v>4974</v>
      </c>
      <c r="C505" t="s">
        <v>4975</v>
      </c>
      <c r="D505" t="s">
        <v>3883</v>
      </c>
      <c r="E505" t="s">
        <v>4997</v>
      </c>
      <c r="F505" t="s">
        <v>3562</v>
      </c>
      <c r="G505" t="s">
        <v>4998</v>
      </c>
    </row>
    <row r="506" customHeight="1" spans="1:7">
      <c r="A506" t="s">
        <v>16</v>
      </c>
      <c r="B506" t="s">
        <v>4974</v>
      </c>
      <c r="C506" t="s">
        <v>4975</v>
      </c>
      <c r="D506" t="s">
        <v>4974</v>
      </c>
      <c r="E506" t="s">
        <v>4975</v>
      </c>
      <c r="F506" t="s">
        <v>3559</v>
      </c>
      <c r="G506" t="s">
        <v>4999</v>
      </c>
    </row>
    <row r="507" customHeight="1" spans="1:7">
      <c r="A507" t="s">
        <v>16</v>
      </c>
      <c r="B507" t="s">
        <v>4974</v>
      </c>
      <c r="C507" t="s">
        <v>4975</v>
      </c>
      <c r="D507" t="s">
        <v>5000</v>
      </c>
      <c r="E507" t="s">
        <v>5001</v>
      </c>
      <c r="F507" t="s">
        <v>3562</v>
      </c>
      <c r="G507" t="s">
        <v>5002</v>
      </c>
    </row>
    <row r="508" customHeight="1" spans="1:7">
      <c r="A508" t="s">
        <v>16</v>
      </c>
      <c r="B508" t="s">
        <v>4974</v>
      </c>
      <c r="C508" t="s">
        <v>4975</v>
      </c>
      <c r="D508" t="s">
        <v>5003</v>
      </c>
      <c r="E508" t="s">
        <v>5004</v>
      </c>
      <c r="F508" t="s">
        <v>3562</v>
      </c>
      <c r="G508" t="s">
        <v>5005</v>
      </c>
    </row>
    <row r="509" customHeight="1" spans="1:7">
      <c r="A509" t="s">
        <v>16</v>
      </c>
      <c r="B509" t="s">
        <v>4974</v>
      </c>
      <c r="C509" t="s">
        <v>4975</v>
      </c>
      <c r="D509" t="s">
        <v>5006</v>
      </c>
      <c r="E509" t="s">
        <v>5007</v>
      </c>
      <c r="F509" t="s">
        <v>3562</v>
      </c>
      <c r="G509" t="s">
        <v>5008</v>
      </c>
    </row>
    <row r="510" customHeight="1" spans="1:7">
      <c r="A510" t="s">
        <v>16</v>
      </c>
      <c r="B510" t="s">
        <v>4974</v>
      </c>
      <c r="C510" t="s">
        <v>4975</v>
      </c>
      <c r="D510" t="s">
        <v>5009</v>
      </c>
      <c r="E510" t="s">
        <v>5010</v>
      </c>
      <c r="F510" t="s">
        <v>3562</v>
      </c>
      <c r="G510" t="s">
        <v>5011</v>
      </c>
    </row>
    <row r="511" customHeight="1" spans="1:7">
      <c r="A511" t="s">
        <v>16</v>
      </c>
      <c r="B511" t="s">
        <v>4974</v>
      </c>
      <c r="C511" t="s">
        <v>4975</v>
      </c>
      <c r="D511" t="s">
        <v>5012</v>
      </c>
      <c r="E511" t="s">
        <v>5013</v>
      </c>
      <c r="F511" t="s">
        <v>3562</v>
      </c>
      <c r="G511" t="s">
        <v>5014</v>
      </c>
    </row>
    <row r="512" customHeight="1" spans="1:7">
      <c r="A512" t="s">
        <v>16</v>
      </c>
      <c r="B512" t="s">
        <v>4974</v>
      </c>
      <c r="C512" t="s">
        <v>4975</v>
      </c>
      <c r="D512" t="s">
        <v>5015</v>
      </c>
      <c r="E512" t="s">
        <v>5016</v>
      </c>
      <c r="F512" t="s">
        <v>3562</v>
      </c>
      <c r="G512" t="s">
        <v>5017</v>
      </c>
    </row>
    <row r="513" customHeight="1" spans="1:7">
      <c r="A513" t="s">
        <v>16</v>
      </c>
      <c r="B513" t="s">
        <v>4974</v>
      </c>
      <c r="C513" t="s">
        <v>4975</v>
      </c>
      <c r="D513" t="s">
        <v>5018</v>
      </c>
      <c r="E513" t="s">
        <v>5019</v>
      </c>
      <c r="F513" t="s">
        <v>3562</v>
      </c>
      <c r="G513" t="s">
        <v>5020</v>
      </c>
    </row>
    <row r="514" customHeight="1" spans="1:7">
      <c r="A514" t="s">
        <v>16</v>
      </c>
      <c r="B514" t="s">
        <v>4974</v>
      </c>
      <c r="C514" t="s">
        <v>4975</v>
      </c>
      <c r="D514" t="s">
        <v>5021</v>
      </c>
      <c r="E514" t="s">
        <v>5022</v>
      </c>
      <c r="F514" t="s">
        <v>3562</v>
      </c>
      <c r="G514" t="s">
        <v>5023</v>
      </c>
    </row>
    <row r="515" customHeight="1" spans="1:7">
      <c r="A515" t="s">
        <v>16</v>
      </c>
      <c r="B515" t="s">
        <v>4974</v>
      </c>
      <c r="C515" t="s">
        <v>4975</v>
      </c>
      <c r="D515" t="s">
        <v>5024</v>
      </c>
      <c r="E515" t="s">
        <v>5025</v>
      </c>
      <c r="F515" t="s">
        <v>3562</v>
      </c>
      <c r="G515" t="s">
        <v>5026</v>
      </c>
    </row>
    <row r="516" customHeight="1" spans="1:7">
      <c r="A516" t="s">
        <v>16</v>
      </c>
      <c r="B516" t="s">
        <v>4974</v>
      </c>
      <c r="C516" t="s">
        <v>4975</v>
      </c>
      <c r="D516" t="s">
        <v>5027</v>
      </c>
      <c r="E516" t="s">
        <v>5028</v>
      </c>
      <c r="F516" t="s">
        <v>3562</v>
      </c>
      <c r="G516" t="s">
        <v>5029</v>
      </c>
    </row>
    <row r="517" customHeight="1" spans="1:7">
      <c r="A517" t="s">
        <v>16</v>
      </c>
      <c r="B517" t="s">
        <v>4974</v>
      </c>
      <c r="C517" t="s">
        <v>4975</v>
      </c>
      <c r="D517" t="s">
        <v>5030</v>
      </c>
      <c r="E517" t="s">
        <v>5031</v>
      </c>
      <c r="F517" t="s">
        <v>3562</v>
      </c>
      <c r="G517" t="s">
        <v>5032</v>
      </c>
    </row>
    <row r="518" customHeight="1" spans="1:7">
      <c r="A518" t="s">
        <v>16</v>
      </c>
      <c r="B518" t="s">
        <v>4974</v>
      </c>
      <c r="C518" t="s">
        <v>4975</v>
      </c>
      <c r="D518" t="s">
        <v>5033</v>
      </c>
      <c r="E518" t="s">
        <v>5034</v>
      </c>
      <c r="F518" t="s">
        <v>3562</v>
      </c>
      <c r="G518" t="s">
        <v>5035</v>
      </c>
    </row>
    <row r="519" customHeight="1" spans="1:7">
      <c r="A519" t="s">
        <v>16</v>
      </c>
      <c r="B519" t="s">
        <v>4974</v>
      </c>
      <c r="C519" t="s">
        <v>4975</v>
      </c>
      <c r="D519" t="s">
        <v>5036</v>
      </c>
      <c r="E519" t="s">
        <v>5037</v>
      </c>
      <c r="F519" t="s">
        <v>3562</v>
      </c>
      <c r="G519" t="s">
        <v>5038</v>
      </c>
    </row>
    <row r="520" customHeight="1" spans="1:7">
      <c r="A520" t="s">
        <v>16</v>
      </c>
      <c r="B520" t="s">
        <v>4974</v>
      </c>
      <c r="C520" t="s">
        <v>4975</v>
      </c>
      <c r="D520" t="s">
        <v>5039</v>
      </c>
      <c r="E520" t="s">
        <v>5040</v>
      </c>
      <c r="F520" t="s">
        <v>3562</v>
      </c>
      <c r="G520" t="s">
        <v>5041</v>
      </c>
    </row>
    <row r="521" customHeight="1" spans="1:7">
      <c r="A521" t="s">
        <v>16</v>
      </c>
      <c r="B521" t="s">
        <v>4974</v>
      </c>
      <c r="C521" t="s">
        <v>4975</v>
      </c>
      <c r="D521" t="s">
        <v>5042</v>
      </c>
      <c r="E521" t="s">
        <v>5043</v>
      </c>
      <c r="F521" t="s">
        <v>3562</v>
      </c>
      <c r="G521" t="s">
        <v>5044</v>
      </c>
    </row>
    <row r="522" customHeight="1" spans="1:7">
      <c r="A522" t="s">
        <v>16</v>
      </c>
      <c r="B522" t="s">
        <v>4974</v>
      </c>
      <c r="C522" t="s">
        <v>4975</v>
      </c>
      <c r="D522" t="s">
        <v>5045</v>
      </c>
      <c r="E522" t="s">
        <v>5046</v>
      </c>
      <c r="F522" t="s">
        <v>3562</v>
      </c>
      <c r="G522" t="s">
        <v>5047</v>
      </c>
    </row>
    <row r="523" customHeight="1" spans="1:7">
      <c r="A523" t="s">
        <v>16</v>
      </c>
      <c r="B523" t="s">
        <v>4974</v>
      </c>
      <c r="C523" t="s">
        <v>4975</v>
      </c>
      <c r="D523" t="s">
        <v>5048</v>
      </c>
      <c r="E523" t="s">
        <v>5049</v>
      </c>
      <c r="F523" t="s">
        <v>3562</v>
      </c>
      <c r="G523" t="s">
        <v>5050</v>
      </c>
    </row>
    <row r="524" customHeight="1" spans="1:7">
      <c r="A524" t="s">
        <v>16</v>
      </c>
      <c r="B524" t="s">
        <v>4974</v>
      </c>
      <c r="C524" t="s">
        <v>4975</v>
      </c>
      <c r="D524" t="s">
        <v>5051</v>
      </c>
      <c r="E524" t="s">
        <v>5052</v>
      </c>
      <c r="F524" t="s">
        <v>3562</v>
      </c>
      <c r="G524" t="s">
        <v>5053</v>
      </c>
    </row>
    <row r="525" customHeight="1" spans="1:7">
      <c r="A525" t="s">
        <v>16</v>
      </c>
      <c r="B525" t="s">
        <v>4974</v>
      </c>
      <c r="C525" t="s">
        <v>4975</v>
      </c>
      <c r="D525" t="s">
        <v>5054</v>
      </c>
      <c r="E525" t="s">
        <v>5055</v>
      </c>
      <c r="F525" t="s">
        <v>3562</v>
      </c>
      <c r="G525" t="s">
        <v>5056</v>
      </c>
    </row>
    <row r="526" customHeight="1" spans="1:7">
      <c r="A526" t="s">
        <v>16</v>
      </c>
      <c r="B526" t="s">
        <v>4974</v>
      </c>
      <c r="C526" t="s">
        <v>4975</v>
      </c>
      <c r="D526" t="s">
        <v>5057</v>
      </c>
      <c r="E526" t="s">
        <v>5058</v>
      </c>
      <c r="F526" t="s">
        <v>3562</v>
      </c>
      <c r="G526" t="s">
        <v>5059</v>
      </c>
    </row>
    <row r="527" customHeight="1" spans="1:7">
      <c r="A527" t="s">
        <v>16</v>
      </c>
      <c r="B527" t="s">
        <v>4974</v>
      </c>
      <c r="C527" t="s">
        <v>4975</v>
      </c>
      <c r="D527" t="s">
        <v>5060</v>
      </c>
      <c r="E527" t="s">
        <v>5061</v>
      </c>
      <c r="F527" t="s">
        <v>3562</v>
      </c>
      <c r="G527" t="s">
        <v>5062</v>
      </c>
    </row>
    <row r="528" customHeight="1" spans="1:7">
      <c r="A528" t="s">
        <v>16</v>
      </c>
      <c r="B528" t="s">
        <v>4974</v>
      </c>
      <c r="C528" t="s">
        <v>4975</v>
      </c>
      <c r="D528" t="s">
        <v>5063</v>
      </c>
      <c r="E528" t="s">
        <v>5064</v>
      </c>
      <c r="F528" t="s">
        <v>3567</v>
      </c>
      <c r="G528" t="s">
        <v>5065</v>
      </c>
    </row>
    <row r="529" customHeight="1" spans="1:7">
      <c r="A529" t="s">
        <v>16</v>
      </c>
      <c r="B529" t="s">
        <v>5066</v>
      </c>
      <c r="C529" t="s">
        <v>5067</v>
      </c>
      <c r="D529" t="s">
        <v>4207</v>
      </c>
      <c r="E529" t="s">
        <v>5068</v>
      </c>
      <c r="F529" t="s">
        <v>3562</v>
      </c>
      <c r="G529" t="s">
        <v>5069</v>
      </c>
    </row>
    <row r="530" customHeight="1" spans="1:7">
      <c r="A530" t="s">
        <v>16</v>
      </c>
      <c r="B530" t="s">
        <v>5066</v>
      </c>
      <c r="C530" t="s">
        <v>5067</v>
      </c>
      <c r="D530" t="s">
        <v>5070</v>
      </c>
      <c r="E530" t="s">
        <v>5071</v>
      </c>
      <c r="F530" t="s">
        <v>3562</v>
      </c>
      <c r="G530" t="s">
        <v>5072</v>
      </c>
    </row>
    <row r="531" customHeight="1" spans="1:7">
      <c r="A531" t="s">
        <v>16</v>
      </c>
      <c r="B531" t="s">
        <v>5066</v>
      </c>
      <c r="C531" t="s">
        <v>5067</v>
      </c>
      <c r="D531" t="s">
        <v>5073</v>
      </c>
      <c r="E531" t="s">
        <v>5074</v>
      </c>
      <c r="F531" t="s">
        <v>3562</v>
      </c>
      <c r="G531" t="s">
        <v>5075</v>
      </c>
    </row>
    <row r="532" customHeight="1" spans="1:7">
      <c r="A532" t="s">
        <v>16</v>
      </c>
      <c r="B532" t="s">
        <v>5066</v>
      </c>
      <c r="C532" t="s">
        <v>5067</v>
      </c>
      <c r="D532" t="s">
        <v>5076</v>
      </c>
      <c r="E532" t="s">
        <v>5077</v>
      </c>
      <c r="F532" t="s">
        <v>3562</v>
      </c>
      <c r="G532" t="s">
        <v>5078</v>
      </c>
    </row>
    <row r="533" customHeight="1" spans="1:7">
      <c r="A533" t="s">
        <v>16</v>
      </c>
      <c r="B533" t="s">
        <v>5066</v>
      </c>
      <c r="C533" t="s">
        <v>5067</v>
      </c>
      <c r="D533" t="s">
        <v>5079</v>
      </c>
      <c r="E533" t="s">
        <v>5080</v>
      </c>
      <c r="F533" t="s">
        <v>3567</v>
      </c>
      <c r="G533" t="s">
        <v>5081</v>
      </c>
    </row>
    <row r="534" customHeight="1" spans="1:7">
      <c r="A534" t="s">
        <v>16</v>
      </c>
      <c r="B534" t="s">
        <v>5066</v>
      </c>
      <c r="C534" t="s">
        <v>5067</v>
      </c>
      <c r="D534" t="s">
        <v>5082</v>
      </c>
      <c r="E534" t="s">
        <v>5083</v>
      </c>
      <c r="F534" t="s">
        <v>3562</v>
      </c>
      <c r="G534" t="s">
        <v>5084</v>
      </c>
    </row>
    <row r="535" customHeight="1" spans="1:7">
      <c r="A535" t="s">
        <v>16</v>
      </c>
      <c r="B535" t="s">
        <v>5066</v>
      </c>
      <c r="C535" t="s">
        <v>5067</v>
      </c>
      <c r="D535" t="s">
        <v>5085</v>
      </c>
      <c r="E535" t="s">
        <v>5086</v>
      </c>
      <c r="F535" t="s">
        <v>3562</v>
      </c>
      <c r="G535" t="s">
        <v>5087</v>
      </c>
    </row>
    <row r="536" customHeight="1" spans="1:7">
      <c r="A536" t="s">
        <v>16</v>
      </c>
      <c r="B536" t="s">
        <v>5066</v>
      </c>
      <c r="C536" t="s">
        <v>5067</v>
      </c>
      <c r="D536" t="s">
        <v>5088</v>
      </c>
      <c r="E536" t="s">
        <v>5089</v>
      </c>
      <c r="F536" t="s">
        <v>3562</v>
      </c>
      <c r="G536" t="s">
        <v>5090</v>
      </c>
    </row>
    <row r="537" customHeight="1" spans="1:7">
      <c r="A537" t="s">
        <v>16</v>
      </c>
      <c r="B537" t="s">
        <v>5066</v>
      </c>
      <c r="C537" t="s">
        <v>5067</v>
      </c>
      <c r="D537" t="s">
        <v>5091</v>
      </c>
      <c r="E537" t="s">
        <v>5092</v>
      </c>
      <c r="F537" t="s">
        <v>3562</v>
      </c>
      <c r="G537" t="s">
        <v>5093</v>
      </c>
    </row>
    <row r="538" customHeight="1" spans="1:7">
      <c r="A538" t="s">
        <v>16</v>
      </c>
      <c r="B538" t="s">
        <v>5066</v>
      </c>
      <c r="C538" t="s">
        <v>5067</v>
      </c>
      <c r="D538" t="s">
        <v>5066</v>
      </c>
      <c r="E538" t="s">
        <v>5067</v>
      </c>
      <c r="F538" t="s">
        <v>3559</v>
      </c>
      <c r="G538" t="s">
        <v>5094</v>
      </c>
    </row>
    <row r="539" customHeight="1" spans="1:7">
      <c r="A539" t="s">
        <v>16</v>
      </c>
      <c r="B539" t="s">
        <v>5066</v>
      </c>
      <c r="C539" t="s">
        <v>5067</v>
      </c>
      <c r="D539" t="s">
        <v>5095</v>
      </c>
      <c r="E539" t="s">
        <v>5096</v>
      </c>
      <c r="F539" t="s">
        <v>3562</v>
      </c>
      <c r="G539" t="s">
        <v>5097</v>
      </c>
    </row>
    <row r="540" customHeight="1" spans="1:7">
      <c r="A540" t="s">
        <v>16</v>
      </c>
      <c r="B540" t="s">
        <v>5066</v>
      </c>
      <c r="C540" t="s">
        <v>5067</v>
      </c>
      <c r="D540" t="s">
        <v>5098</v>
      </c>
      <c r="E540" t="s">
        <v>5099</v>
      </c>
      <c r="F540" t="s">
        <v>3562</v>
      </c>
      <c r="G540" t="s">
        <v>5100</v>
      </c>
    </row>
    <row r="541" customHeight="1" spans="1:7">
      <c r="A541" t="s">
        <v>16</v>
      </c>
      <c r="B541" t="s">
        <v>5066</v>
      </c>
      <c r="C541" t="s">
        <v>5067</v>
      </c>
      <c r="D541" t="s">
        <v>5101</v>
      </c>
      <c r="E541" t="s">
        <v>5102</v>
      </c>
      <c r="F541" t="s">
        <v>3562</v>
      </c>
      <c r="G541" t="s">
        <v>5103</v>
      </c>
    </row>
    <row r="542" customHeight="1" spans="1:7">
      <c r="A542" t="s">
        <v>16</v>
      </c>
      <c r="B542" t="s">
        <v>5066</v>
      </c>
      <c r="C542" t="s">
        <v>5067</v>
      </c>
      <c r="D542" t="s">
        <v>5104</v>
      </c>
      <c r="E542" t="s">
        <v>5105</v>
      </c>
      <c r="F542" t="s">
        <v>3562</v>
      </c>
      <c r="G542" t="s">
        <v>5106</v>
      </c>
    </row>
    <row r="543" customHeight="1" spans="1:7">
      <c r="A543" t="s">
        <v>16</v>
      </c>
      <c r="B543" t="s">
        <v>5066</v>
      </c>
      <c r="C543" t="s">
        <v>5067</v>
      </c>
      <c r="D543" t="s">
        <v>5107</v>
      </c>
      <c r="E543" t="s">
        <v>5108</v>
      </c>
      <c r="F543" t="s">
        <v>3562</v>
      </c>
      <c r="G543" t="s">
        <v>5109</v>
      </c>
    </row>
    <row r="544" customHeight="1" spans="1:7">
      <c r="A544" t="s">
        <v>16</v>
      </c>
      <c r="B544" t="s">
        <v>5066</v>
      </c>
      <c r="C544" t="s">
        <v>5067</v>
      </c>
      <c r="D544" t="s">
        <v>5110</v>
      </c>
      <c r="E544" t="s">
        <v>5111</v>
      </c>
      <c r="F544" t="s">
        <v>3562</v>
      </c>
      <c r="G544" t="s">
        <v>5112</v>
      </c>
    </row>
    <row r="545" customHeight="1" spans="1:7">
      <c r="A545" t="s">
        <v>16</v>
      </c>
      <c r="B545" t="s">
        <v>5066</v>
      </c>
      <c r="C545" t="s">
        <v>5067</v>
      </c>
      <c r="D545" t="s">
        <v>5113</v>
      </c>
      <c r="E545" t="s">
        <v>5114</v>
      </c>
      <c r="F545" t="s">
        <v>3562</v>
      </c>
      <c r="G545" t="s">
        <v>5115</v>
      </c>
    </row>
    <row r="546" customHeight="1" spans="1:7">
      <c r="A546" t="s">
        <v>16</v>
      </c>
      <c r="B546" t="s">
        <v>5066</v>
      </c>
      <c r="C546" t="s">
        <v>5067</v>
      </c>
      <c r="D546" t="s">
        <v>5116</v>
      </c>
      <c r="E546" t="s">
        <v>5117</v>
      </c>
      <c r="F546" t="s">
        <v>3562</v>
      </c>
      <c r="G546" t="s">
        <v>5118</v>
      </c>
    </row>
    <row r="547" customHeight="1" spans="1:7">
      <c r="A547" t="s">
        <v>16</v>
      </c>
      <c r="B547" t="s">
        <v>5066</v>
      </c>
      <c r="C547" t="s">
        <v>5067</v>
      </c>
      <c r="D547" t="s">
        <v>5119</v>
      </c>
      <c r="E547" t="s">
        <v>5120</v>
      </c>
      <c r="F547" t="s">
        <v>3562</v>
      </c>
      <c r="G547" t="s">
        <v>5121</v>
      </c>
    </row>
    <row r="548" customHeight="1" spans="1:7">
      <c r="A548" t="s">
        <v>16</v>
      </c>
      <c r="B548" t="s">
        <v>5066</v>
      </c>
      <c r="C548" t="s">
        <v>5067</v>
      </c>
      <c r="D548" t="s">
        <v>5122</v>
      </c>
      <c r="E548" t="s">
        <v>5123</v>
      </c>
      <c r="F548" t="s">
        <v>3562</v>
      </c>
      <c r="G548" t="s">
        <v>5124</v>
      </c>
    </row>
    <row r="549" customHeight="1" spans="1:7">
      <c r="A549" t="s">
        <v>16</v>
      </c>
      <c r="B549" t="s">
        <v>5066</v>
      </c>
      <c r="C549" t="s">
        <v>5067</v>
      </c>
      <c r="D549" t="s">
        <v>5125</v>
      </c>
      <c r="E549" t="s">
        <v>5126</v>
      </c>
      <c r="F549" t="s">
        <v>3562</v>
      </c>
      <c r="G549" t="s">
        <v>5127</v>
      </c>
    </row>
    <row r="550" customHeight="1" spans="1:7">
      <c r="A550" t="s">
        <v>16</v>
      </c>
      <c r="B550" t="s">
        <v>5066</v>
      </c>
      <c r="C550" t="s">
        <v>5067</v>
      </c>
      <c r="D550" t="s">
        <v>5128</v>
      </c>
      <c r="E550" t="s">
        <v>5129</v>
      </c>
      <c r="F550" t="s">
        <v>3562</v>
      </c>
      <c r="G550" t="s">
        <v>5130</v>
      </c>
    </row>
    <row r="551" customHeight="1" spans="1:7">
      <c r="A551" t="s">
        <v>16</v>
      </c>
      <c r="B551" t="s">
        <v>5066</v>
      </c>
      <c r="C551" t="s">
        <v>5067</v>
      </c>
      <c r="D551" t="s">
        <v>5131</v>
      </c>
      <c r="E551" t="s">
        <v>5132</v>
      </c>
      <c r="F551" t="s">
        <v>3562</v>
      </c>
      <c r="G551" t="s">
        <v>5133</v>
      </c>
    </row>
    <row r="552" customHeight="1" spans="1:7">
      <c r="A552" t="s">
        <v>16</v>
      </c>
      <c r="B552" t="s">
        <v>5066</v>
      </c>
      <c r="C552" t="s">
        <v>5067</v>
      </c>
      <c r="D552" t="s">
        <v>5134</v>
      </c>
      <c r="E552" t="s">
        <v>5135</v>
      </c>
      <c r="F552" t="s">
        <v>3562</v>
      </c>
      <c r="G552" t="s">
        <v>5136</v>
      </c>
    </row>
    <row r="553" customHeight="1" spans="1:7">
      <c r="A553" t="s">
        <v>16</v>
      </c>
      <c r="B553" t="s">
        <v>5066</v>
      </c>
      <c r="C553" t="s">
        <v>5067</v>
      </c>
      <c r="D553" t="s">
        <v>5137</v>
      </c>
      <c r="E553" t="s">
        <v>5138</v>
      </c>
      <c r="F553" t="s">
        <v>3562</v>
      </c>
      <c r="G553" t="s">
        <v>5139</v>
      </c>
    </row>
    <row r="554" customHeight="1" spans="1:7">
      <c r="A554" t="s">
        <v>16</v>
      </c>
      <c r="B554" t="s">
        <v>5140</v>
      </c>
      <c r="C554" t="s">
        <v>5141</v>
      </c>
      <c r="D554" t="s">
        <v>5142</v>
      </c>
      <c r="E554" t="s">
        <v>5143</v>
      </c>
      <c r="F554" t="s">
        <v>3562</v>
      </c>
      <c r="G554" t="s">
        <v>5144</v>
      </c>
    </row>
    <row r="555" customHeight="1" spans="1:7">
      <c r="A555" t="s">
        <v>16</v>
      </c>
      <c r="B555" t="s">
        <v>5140</v>
      </c>
      <c r="C555" t="s">
        <v>5141</v>
      </c>
      <c r="D555" t="s">
        <v>5145</v>
      </c>
      <c r="E555" t="s">
        <v>5146</v>
      </c>
      <c r="F555" t="s">
        <v>3567</v>
      </c>
      <c r="G555" t="s">
        <v>5147</v>
      </c>
    </row>
    <row r="556" customHeight="1" spans="1:7">
      <c r="A556" t="s">
        <v>16</v>
      </c>
      <c r="B556" t="s">
        <v>5140</v>
      </c>
      <c r="C556" t="s">
        <v>5141</v>
      </c>
      <c r="D556" t="s">
        <v>5148</v>
      </c>
      <c r="E556" t="s">
        <v>5149</v>
      </c>
      <c r="F556" t="s">
        <v>3562</v>
      </c>
      <c r="G556" t="s">
        <v>5150</v>
      </c>
    </row>
    <row r="557" customHeight="1" spans="1:7">
      <c r="A557" t="s">
        <v>16</v>
      </c>
      <c r="B557" t="s">
        <v>5140</v>
      </c>
      <c r="C557" t="s">
        <v>5141</v>
      </c>
      <c r="D557" t="s">
        <v>4328</v>
      </c>
      <c r="E557" t="s">
        <v>5151</v>
      </c>
      <c r="F557" t="s">
        <v>3562</v>
      </c>
      <c r="G557" t="s">
        <v>5152</v>
      </c>
    </row>
    <row r="558" customHeight="1" spans="1:7">
      <c r="A558" t="s">
        <v>16</v>
      </c>
      <c r="B558" t="s">
        <v>5140</v>
      </c>
      <c r="C558" t="s">
        <v>5141</v>
      </c>
      <c r="D558" t="s">
        <v>5153</v>
      </c>
      <c r="E558" t="s">
        <v>5154</v>
      </c>
      <c r="F558" t="s">
        <v>3562</v>
      </c>
      <c r="G558" t="s">
        <v>5155</v>
      </c>
    </row>
    <row r="559" customHeight="1" spans="1:7">
      <c r="A559" t="s">
        <v>16</v>
      </c>
      <c r="B559" t="s">
        <v>5140</v>
      </c>
      <c r="C559" t="s">
        <v>5141</v>
      </c>
      <c r="D559" t="s">
        <v>5156</v>
      </c>
      <c r="E559" t="s">
        <v>5157</v>
      </c>
      <c r="F559" t="s">
        <v>3562</v>
      </c>
      <c r="G559" t="s">
        <v>5158</v>
      </c>
    </row>
    <row r="560" customHeight="1" spans="1:7">
      <c r="A560" t="s">
        <v>16</v>
      </c>
      <c r="B560" t="s">
        <v>5140</v>
      </c>
      <c r="C560" t="s">
        <v>5141</v>
      </c>
      <c r="D560" t="s">
        <v>5159</v>
      </c>
      <c r="E560" t="s">
        <v>5160</v>
      </c>
      <c r="F560" t="s">
        <v>3562</v>
      </c>
      <c r="G560" t="s">
        <v>5161</v>
      </c>
    </row>
    <row r="561" customHeight="1" spans="1:7">
      <c r="A561" t="s">
        <v>16</v>
      </c>
      <c r="B561" t="s">
        <v>5140</v>
      </c>
      <c r="C561" t="s">
        <v>5141</v>
      </c>
      <c r="D561" t="s">
        <v>5162</v>
      </c>
      <c r="E561" t="s">
        <v>5163</v>
      </c>
      <c r="F561" t="s">
        <v>3562</v>
      </c>
      <c r="G561" t="s">
        <v>5164</v>
      </c>
    </row>
    <row r="562" customHeight="1" spans="1:7">
      <c r="A562" t="s">
        <v>16</v>
      </c>
      <c r="B562" t="s">
        <v>5140</v>
      </c>
      <c r="C562" t="s">
        <v>5141</v>
      </c>
      <c r="D562" t="s">
        <v>5165</v>
      </c>
      <c r="E562" t="s">
        <v>5166</v>
      </c>
      <c r="F562" t="s">
        <v>3562</v>
      </c>
      <c r="G562" t="s">
        <v>5167</v>
      </c>
    </row>
    <row r="563" customHeight="1" spans="1:7">
      <c r="A563" t="s">
        <v>16</v>
      </c>
      <c r="B563" t="s">
        <v>5140</v>
      </c>
      <c r="C563" t="s">
        <v>5141</v>
      </c>
      <c r="D563" t="s">
        <v>5140</v>
      </c>
      <c r="E563" t="s">
        <v>5141</v>
      </c>
      <c r="F563" t="s">
        <v>3559</v>
      </c>
      <c r="G563" t="s">
        <v>5168</v>
      </c>
    </row>
    <row r="564" customHeight="1" spans="1:7">
      <c r="A564" t="s">
        <v>16</v>
      </c>
      <c r="B564" t="s">
        <v>5140</v>
      </c>
      <c r="C564" t="s">
        <v>5141</v>
      </c>
      <c r="D564" t="s">
        <v>5169</v>
      </c>
      <c r="E564" t="s">
        <v>5170</v>
      </c>
      <c r="F564" t="s">
        <v>3562</v>
      </c>
      <c r="G564" t="s">
        <v>5171</v>
      </c>
    </row>
    <row r="565" customHeight="1" spans="1:7">
      <c r="A565" t="s">
        <v>16</v>
      </c>
      <c r="B565" t="s">
        <v>5140</v>
      </c>
      <c r="C565" t="s">
        <v>5141</v>
      </c>
      <c r="D565" t="s">
        <v>5172</v>
      </c>
      <c r="E565" t="s">
        <v>5173</v>
      </c>
      <c r="F565" t="s">
        <v>3562</v>
      </c>
      <c r="G565" t="s">
        <v>5174</v>
      </c>
    </row>
    <row r="566" customHeight="1" spans="1:7">
      <c r="A566" t="s">
        <v>16</v>
      </c>
      <c r="B566" t="s">
        <v>5140</v>
      </c>
      <c r="C566" t="s">
        <v>5141</v>
      </c>
      <c r="D566" t="s">
        <v>5175</v>
      </c>
      <c r="E566" t="s">
        <v>5176</v>
      </c>
      <c r="F566" t="s">
        <v>3562</v>
      </c>
      <c r="G566" t="s">
        <v>5177</v>
      </c>
    </row>
    <row r="567" customHeight="1" spans="1:7">
      <c r="A567" t="s">
        <v>16</v>
      </c>
      <c r="B567" t="s">
        <v>5140</v>
      </c>
      <c r="C567" t="s">
        <v>5141</v>
      </c>
      <c r="D567" t="s">
        <v>5178</v>
      </c>
      <c r="E567" t="s">
        <v>5179</v>
      </c>
      <c r="F567" t="s">
        <v>3562</v>
      </c>
      <c r="G567" t="s">
        <v>5180</v>
      </c>
    </row>
    <row r="568" customHeight="1" spans="1:7">
      <c r="A568" t="s">
        <v>16</v>
      </c>
      <c r="B568" t="s">
        <v>5140</v>
      </c>
      <c r="C568" t="s">
        <v>5141</v>
      </c>
      <c r="D568" t="s">
        <v>5181</v>
      </c>
      <c r="E568" t="s">
        <v>5182</v>
      </c>
      <c r="F568" t="s">
        <v>3562</v>
      </c>
      <c r="G568" t="s">
        <v>5183</v>
      </c>
    </row>
    <row r="569" customHeight="1" spans="1:7">
      <c r="A569" t="s">
        <v>16</v>
      </c>
      <c r="B569" t="s">
        <v>5140</v>
      </c>
      <c r="C569" t="s">
        <v>5141</v>
      </c>
      <c r="D569" t="s">
        <v>5184</v>
      </c>
      <c r="E569" t="s">
        <v>5185</v>
      </c>
      <c r="F569" t="s">
        <v>3562</v>
      </c>
      <c r="G569" t="s">
        <v>5186</v>
      </c>
    </row>
    <row r="570" customHeight="1" spans="1:7">
      <c r="A570" t="s">
        <v>16</v>
      </c>
      <c r="B570" t="s">
        <v>5140</v>
      </c>
      <c r="C570" t="s">
        <v>5141</v>
      </c>
      <c r="D570" t="s">
        <v>5187</v>
      </c>
      <c r="E570" t="s">
        <v>5188</v>
      </c>
      <c r="F570" t="s">
        <v>3562</v>
      </c>
      <c r="G570" t="s">
        <v>5189</v>
      </c>
    </row>
    <row r="571" customHeight="1" spans="1:7">
      <c r="A571" t="s">
        <v>16</v>
      </c>
      <c r="B571" t="s">
        <v>5140</v>
      </c>
      <c r="C571" t="s">
        <v>5141</v>
      </c>
      <c r="D571" t="s">
        <v>5190</v>
      </c>
      <c r="E571" t="s">
        <v>5191</v>
      </c>
      <c r="F571" t="s">
        <v>3562</v>
      </c>
      <c r="G571" t="s">
        <v>5192</v>
      </c>
    </row>
    <row r="572" customHeight="1" spans="1:7">
      <c r="A572" t="s">
        <v>16</v>
      </c>
      <c r="B572" t="s">
        <v>5140</v>
      </c>
      <c r="C572" t="s">
        <v>5141</v>
      </c>
      <c r="D572" t="s">
        <v>5193</v>
      </c>
      <c r="E572" t="s">
        <v>5194</v>
      </c>
      <c r="F572" t="s">
        <v>3562</v>
      </c>
      <c r="G572" t="s">
        <v>5195</v>
      </c>
    </row>
    <row r="573" customHeight="1" spans="1:7">
      <c r="A573" t="s">
        <v>16</v>
      </c>
      <c r="B573" t="s">
        <v>5140</v>
      </c>
      <c r="C573" t="s">
        <v>5141</v>
      </c>
      <c r="D573" t="s">
        <v>5196</v>
      </c>
      <c r="E573" t="s">
        <v>5197</v>
      </c>
      <c r="F573" t="s">
        <v>3562</v>
      </c>
      <c r="G573" t="s">
        <v>5198</v>
      </c>
    </row>
    <row r="574" customHeight="1" spans="1:7">
      <c r="A574" t="s">
        <v>16</v>
      </c>
      <c r="B574" t="s">
        <v>5140</v>
      </c>
      <c r="C574" t="s">
        <v>5141</v>
      </c>
      <c r="D574" t="s">
        <v>5199</v>
      </c>
      <c r="E574" t="s">
        <v>5200</v>
      </c>
      <c r="F574" t="s">
        <v>3562</v>
      </c>
      <c r="G574" t="s">
        <v>5201</v>
      </c>
    </row>
    <row r="575" customHeight="1" spans="1:7">
      <c r="A575" t="s">
        <v>16</v>
      </c>
      <c r="B575" t="s">
        <v>5140</v>
      </c>
      <c r="C575" t="s">
        <v>5141</v>
      </c>
      <c r="D575" t="s">
        <v>5202</v>
      </c>
      <c r="E575" t="s">
        <v>5203</v>
      </c>
      <c r="F575" t="s">
        <v>3562</v>
      </c>
      <c r="G575" t="s">
        <v>5204</v>
      </c>
    </row>
    <row r="576" customHeight="1" spans="1:7">
      <c r="A576" t="s">
        <v>16</v>
      </c>
      <c r="B576" t="s">
        <v>5140</v>
      </c>
      <c r="C576" t="s">
        <v>5141</v>
      </c>
      <c r="D576" t="s">
        <v>5205</v>
      </c>
      <c r="E576" t="s">
        <v>5206</v>
      </c>
      <c r="F576" t="s">
        <v>3562</v>
      </c>
      <c r="G576" t="s">
        <v>5207</v>
      </c>
    </row>
    <row r="577" customHeight="1" spans="1:7">
      <c r="A577" t="s">
        <v>16</v>
      </c>
      <c r="B577" t="s">
        <v>5140</v>
      </c>
      <c r="C577" t="s">
        <v>5141</v>
      </c>
      <c r="D577" t="s">
        <v>5208</v>
      </c>
      <c r="E577" t="s">
        <v>5209</v>
      </c>
      <c r="F577" t="s">
        <v>3562</v>
      </c>
      <c r="G577" t="s">
        <v>5210</v>
      </c>
    </row>
    <row r="578" customHeight="1" spans="1:7">
      <c r="A578" t="s">
        <v>16</v>
      </c>
      <c r="B578" t="s">
        <v>5140</v>
      </c>
      <c r="C578" t="s">
        <v>5141</v>
      </c>
      <c r="D578" t="s">
        <v>5211</v>
      </c>
      <c r="E578" t="s">
        <v>5212</v>
      </c>
      <c r="F578" t="s">
        <v>3562</v>
      </c>
      <c r="G578" t="s">
        <v>5213</v>
      </c>
    </row>
    <row r="579" customHeight="1" spans="1:7">
      <c r="A579" t="s">
        <v>16</v>
      </c>
      <c r="B579" t="s">
        <v>5140</v>
      </c>
      <c r="C579" t="s">
        <v>5141</v>
      </c>
      <c r="D579" t="s">
        <v>5214</v>
      </c>
      <c r="E579" t="s">
        <v>5215</v>
      </c>
      <c r="F579" t="s">
        <v>3562</v>
      </c>
      <c r="G579" t="s">
        <v>5216</v>
      </c>
    </row>
    <row r="580" customHeight="1" spans="1:7">
      <c r="A580" t="s">
        <v>16</v>
      </c>
      <c r="B580" t="s">
        <v>5217</v>
      </c>
      <c r="C580" t="s">
        <v>5218</v>
      </c>
      <c r="D580" t="s">
        <v>5219</v>
      </c>
      <c r="E580" t="s">
        <v>5220</v>
      </c>
      <c r="F580" t="s">
        <v>3562</v>
      </c>
      <c r="G580" t="s">
        <v>5221</v>
      </c>
    </row>
    <row r="581" customHeight="1" spans="1:7">
      <c r="A581" t="s">
        <v>16</v>
      </c>
      <c r="B581" t="s">
        <v>5217</v>
      </c>
      <c r="C581" t="s">
        <v>5218</v>
      </c>
      <c r="D581" t="s">
        <v>5222</v>
      </c>
      <c r="E581" t="s">
        <v>5223</v>
      </c>
      <c r="F581" t="s">
        <v>3562</v>
      </c>
      <c r="G581" t="s">
        <v>5224</v>
      </c>
    </row>
    <row r="582" customHeight="1" spans="1:7">
      <c r="A582" t="s">
        <v>16</v>
      </c>
      <c r="B582" t="s">
        <v>5217</v>
      </c>
      <c r="C582" t="s">
        <v>5218</v>
      </c>
      <c r="D582" t="s">
        <v>5225</v>
      </c>
      <c r="E582" t="s">
        <v>5226</v>
      </c>
      <c r="F582" t="s">
        <v>3567</v>
      </c>
      <c r="G582" t="s">
        <v>5227</v>
      </c>
    </row>
    <row r="583" customHeight="1" spans="1:7">
      <c r="A583" t="s">
        <v>16</v>
      </c>
      <c r="B583" t="s">
        <v>5217</v>
      </c>
      <c r="C583" t="s">
        <v>5218</v>
      </c>
      <c r="D583" t="s">
        <v>5228</v>
      </c>
      <c r="E583" t="s">
        <v>5229</v>
      </c>
      <c r="F583" t="s">
        <v>3562</v>
      </c>
      <c r="G583" t="s">
        <v>5230</v>
      </c>
    </row>
    <row r="584" customHeight="1" spans="1:7">
      <c r="A584" t="s">
        <v>16</v>
      </c>
      <c r="B584" t="s">
        <v>5217</v>
      </c>
      <c r="C584" t="s">
        <v>5218</v>
      </c>
      <c r="D584" t="s">
        <v>5231</v>
      </c>
      <c r="E584" t="s">
        <v>5232</v>
      </c>
      <c r="F584" t="s">
        <v>3562</v>
      </c>
      <c r="G584" t="s">
        <v>5233</v>
      </c>
    </row>
    <row r="585" customHeight="1" spans="1:7">
      <c r="A585" t="s">
        <v>16</v>
      </c>
      <c r="B585" t="s">
        <v>5217</v>
      </c>
      <c r="C585" t="s">
        <v>5218</v>
      </c>
      <c r="D585" t="s">
        <v>5234</v>
      </c>
      <c r="E585" t="s">
        <v>5235</v>
      </c>
      <c r="F585" t="s">
        <v>3562</v>
      </c>
      <c r="G585" t="s">
        <v>5236</v>
      </c>
    </row>
    <row r="586" customHeight="1" spans="1:7">
      <c r="A586" t="s">
        <v>16</v>
      </c>
      <c r="B586" t="s">
        <v>5217</v>
      </c>
      <c r="C586" t="s">
        <v>5218</v>
      </c>
      <c r="D586" t="s">
        <v>5237</v>
      </c>
      <c r="E586" t="s">
        <v>5238</v>
      </c>
      <c r="F586" t="s">
        <v>3562</v>
      </c>
      <c r="G586" t="s">
        <v>5239</v>
      </c>
    </row>
    <row r="587" customHeight="1" spans="1:7">
      <c r="A587" t="s">
        <v>16</v>
      </c>
      <c r="B587" t="s">
        <v>5217</v>
      </c>
      <c r="C587" t="s">
        <v>5218</v>
      </c>
      <c r="D587" t="s">
        <v>5240</v>
      </c>
      <c r="E587" t="s">
        <v>5241</v>
      </c>
      <c r="F587" t="s">
        <v>3562</v>
      </c>
      <c r="G587" t="s">
        <v>5242</v>
      </c>
    </row>
    <row r="588" customHeight="1" spans="1:7">
      <c r="A588" t="s">
        <v>16</v>
      </c>
      <c r="B588" t="s">
        <v>5217</v>
      </c>
      <c r="C588" t="s">
        <v>5218</v>
      </c>
      <c r="D588" t="s">
        <v>5243</v>
      </c>
      <c r="E588" t="s">
        <v>5244</v>
      </c>
      <c r="F588" t="s">
        <v>3562</v>
      </c>
      <c r="G588" t="s">
        <v>5245</v>
      </c>
    </row>
    <row r="589" customHeight="1" spans="1:7">
      <c r="A589" t="s">
        <v>16</v>
      </c>
      <c r="B589" t="s">
        <v>5217</v>
      </c>
      <c r="C589" t="s">
        <v>5218</v>
      </c>
      <c r="D589" t="s">
        <v>5246</v>
      </c>
      <c r="E589" t="s">
        <v>5247</v>
      </c>
      <c r="F589" t="s">
        <v>3562</v>
      </c>
      <c r="G589" t="s">
        <v>5248</v>
      </c>
    </row>
    <row r="590" customHeight="1" spans="1:7">
      <c r="A590" t="s">
        <v>16</v>
      </c>
      <c r="B590" t="s">
        <v>5217</v>
      </c>
      <c r="C590" t="s">
        <v>5218</v>
      </c>
      <c r="D590" t="s">
        <v>5249</v>
      </c>
      <c r="E590" t="s">
        <v>5250</v>
      </c>
      <c r="F590" t="s">
        <v>3562</v>
      </c>
      <c r="G590" t="s">
        <v>5251</v>
      </c>
    </row>
    <row r="591" customHeight="1" spans="1:7">
      <c r="A591" t="s">
        <v>16</v>
      </c>
      <c r="B591" t="s">
        <v>5217</v>
      </c>
      <c r="C591" t="s">
        <v>5218</v>
      </c>
      <c r="D591" t="s">
        <v>5217</v>
      </c>
      <c r="E591" t="s">
        <v>5218</v>
      </c>
      <c r="F591" t="s">
        <v>3559</v>
      </c>
      <c r="G591" t="s">
        <v>5252</v>
      </c>
    </row>
    <row r="592" customHeight="1" spans="1:7">
      <c r="A592" t="s">
        <v>16</v>
      </c>
      <c r="B592" t="s">
        <v>5217</v>
      </c>
      <c r="C592" t="s">
        <v>5218</v>
      </c>
      <c r="D592" t="s">
        <v>5253</v>
      </c>
      <c r="E592" t="s">
        <v>5254</v>
      </c>
      <c r="F592" t="s">
        <v>3562</v>
      </c>
      <c r="G592" t="s">
        <v>5255</v>
      </c>
    </row>
    <row r="593" customHeight="1" spans="1:7">
      <c r="A593" t="s">
        <v>16</v>
      </c>
      <c r="B593" t="s">
        <v>5217</v>
      </c>
      <c r="C593" t="s">
        <v>5218</v>
      </c>
      <c r="D593" t="s">
        <v>5256</v>
      </c>
      <c r="E593" t="s">
        <v>5257</v>
      </c>
      <c r="F593" t="s">
        <v>3562</v>
      </c>
      <c r="G593" t="s">
        <v>5258</v>
      </c>
    </row>
    <row r="594" customHeight="1" spans="1:7">
      <c r="A594" t="s">
        <v>16</v>
      </c>
      <c r="B594" t="s">
        <v>5217</v>
      </c>
      <c r="C594" t="s">
        <v>5218</v>
      </c>
      <c r="D594" t="s">
        <v>5259</v>
      </c>
      <c r="E594" t="s">
        <v>5260</v>
      </c>
      <c r="F594" t="s">
        <v>3562</v>
      </c>
      <c r="G594" t="s">
        <v>5261</v>
      </c>
    </row>
    <row r="595" customHeight="1" spans="1:7">
      <c r="A595" t="s">
        <v>16</v>
      </c>
      <c r="B595" t="s">
        <v>5217</v>
      </c>
      <c r="C595" t="s">
        <v>5218</v>
      </c>
      <c r="D595" t="s">
        <v>5262</v>
      </c>
      <c r="E595" t="s">
        <v>5263</v>
      </c>
      <c r="F595" t="s">
        <v>3562</v>
      </c>
      <c r="G595" t="s">
        <v>5264</v>
      </c>
    </row>
    <row r="596" customHeight="1" spans="1:7">
      <c r="A596" t="s">
        <v>16</v>
      </c>
      <c r="B596" t="s">
        <v>5217</v>
      </c>
      <c r="C596" t="s">
        <v>5218</v>
      </c>
      <c r="D596" t="s">
        <v>5265</v>
      </c>
      <c r="E596" t="s">
        <v>5266</v>
      </c>
      <c r="F596" t="s">
        <v>3562</v>
      </c>
      <c r="G596" t="s">
        <v>5267</v>
      </c>
    </row>
    <row r="597" customHeight="1" spans="1:7">
      <c r="A597" t="s">
        <v>16</v>
      </c>
      <c r="B597" t="s">
        <v>5217</v>
      </c>
      <c r="C597" t="s">
        <v>5218</v>
      </c>
      <c r="D597" t="s">
        <v>5024</v>
      </c>
      <c r="E597" t="s">
        <v>5268</v>
      </c>
      <c r="F597" t="s">
        <v>3562</v>
      </c>
      <c r="G597" t="s">
        <v>5269</v>
      </c>
    </row>
    <row r="598" customHeight="1" spans="1:7">
      <c r="A598" t="s">
        <v>16</v>
      </c>
      <c r="B598" t="s">
        <v>5217</v>
      </c>
      <c r="C598" t="s">
        <v>5218</v>
      </c>
      <c r="D598" t="s">
        <v>5270</v>
      </c>
      <c r="E598" t="s">
        <v>5271</v>
      </c>
      <c r="F598" t="s">
        <v>3562</v>
      </c>
      <c r="G598" t="s">
        <v>5272</v>
      </c>
    </row>
    <row r="599" customHeight="1" spans="1:7">
      <c r="A599" t="s">
        <v>16</v>
      </c>
      <c r="B599" t="s">
        <v>5217</v>
      </c>
      <c r="C599" t="s">
        <v>5218</v>
      </c>
      <c r="D599" t="s">
        <v>5273</v>
      </c>
      <c r="E599" t="s">
        <v>5274</v>
      </c>
      <c r="F599" t="s">
        <v>3562</v>
      </c>
      <c r="G599" t="s">
        <v>5275</v>
      </c>
    </row>
    <row r="600" customHeight="1" spans="1:7">
      <c r="A600" t="s">
        <v>16</v>
      </c>
      <c r="B600" t="s">
        <v>5217</v>
      </c>
      <c r="C600" t="s">
        <v>5218</v>
      </c>
      <c r="D600" t="s">
        <v>5276</v>
      </c>
      <c r="E600" t="s">
        <v>5277</v>
      </c>
      <c r="F600" t="s">
        <v>3562</v>
      </c>
      <c r="G600" t="s">
        <v>5278</v>
      </c>
    </row>
    <row r="601" customHeight="1" spans="1:7">
      <c r="A601" t="s">
        <v>16</v>
      </c>
      <c r="B601" t="s">
        <v>5217</v>
      </c>
      <c r="C601" t="s">
        <v>5218</v>
      </c>
      <c r="D601" t="s">
        <v>5279</v>
      </c>
      <c r="E601" t="s">
        <v>5280</v>
      </c>
      <c r="F601" t="s">
        <v>3562</v>
      </c>
      <c r="G601" t="s">
        <v>5281</v>
      </c>
    </row>
    <row r="602" customHeight="1" spans="1:7">
      <c r="A602" t="s">
        <v>16</v>
      </c>
      <c r="B602" t="s">
        <v>5217</v>
      </c>
      <c r="C602" t="s">
        <v>5218</v>
      </c>
      <c r="D602" t="s">
        <v>5282</v>
      </c>
      <c r="E602" t="s">
        <v>5283</v>
      </c>
      <c r="F602" t="s">
        <v>3562</v>
      </c>
      <c r="G602" t="s">
        <v>5284</v>
      </c>
    </row>
    <row r="603" customHeight="1" spans="1:7">
      <c r="A603" t="s">
        <v>16</v>
      </c>
      <c r="B603" t="s">
        <v>5217</v>
      </c>
      <c r="C603" t="s">
        <v>5218</v>
      </c>
      <c r="D603" t="s">
        <v>5285</v>
      </c>
      <c r="E603" t="s">
        <v>5286</v>
      </c>
      <c r="F603" t="s">
        <v>3562</v>
      </c>
      <c r="G603" t="s">
        <v>5287</v>
      </c>
    </row>
    <row r="604" customHeight="1" spans="1:7">
      <c r="A604" t="s">
        <v>16</v>
      </c>
      <c r="B604" t="s">
        <v>5217</v>
      </c>
      <c r="C604" t="s">
        <v>5218</v>
      </c>
      <c r="D604" t="s">
        <v>5288</v>
      </c>
      <c r="E604" t="s">
        <v>5289</v>
      </c>
      <c r="F604" t="s">
        <v>3562</v>
      </c>
      <c r="G604" t="s">
        <v>5290</v>
      </c>
    </row>
    <row r="605" customHeight="1" spans="1:7">
      <c r="A605" t="s">
        <v>16</v>
      </c>
      <c r="B605" t="s">
        <v>5217</v>
      </c>
      <c r="C605" t="s">
        <v>5218</v>
      </c>
      <c r="D605" t="s">
        <v>5291</v>
      </c>
      <c r="E605" t="s">
        <v>5292</v>
      </c>
      <c r="F605" t="s">
        <v>3562</v>
      </c>
      <c r="G605" t="s">
        <v>5293</v>
      </c>
    </row>
    <row r="606" customHeight="1" spans="1:7">
      <c r="A606" t="s">
        <v>16</v>
      </c>
      <c r="B606" t="s">
        <v>5217</v>
      </c>
      <c r="C606" t="s">
        <v>5218</v>
      </c>
      <c r="D606" t="s">
        <v>5294</v>
      </c>
      <c r="E606" t="s">
        <v>5295</v>
      </c>
      <c r="F606" t="s">
        <v>3562</v>
      </c>
      <c r="G606" t="s">
        <v>5296</v>
      </c>
    </row>
    <row r="607" customHeight="1" spans="1:7">
      <c r="A607" t="s">
        <v>16</v>
      </c>
      <c r="B607" t="s">
        <v>5217</v>
      </c>
      <c r="C607" t="s">
        <v>5218</v>
      </c>
      <c r="D607" t="s">
        <v>5297</v>
      </c>
      <c r="E607" t="s">
        <v>5298</v>
      </c>
      <c r="F607" t="s">
        <v>3562</v>
      </c>
      <c r="G607" t="s">
        <v>5299</v>
      </c>
    </row>
    <row r="608" customHeight="1" spans="1:7">
      <c r="A608" t="s">
        <v>16</v>
      </c>
      <c r="B608" t="s">
        <v>5217</v>
      </c>
      <c r="C608" t="s">
        <v>5218</v>
      </c>
      <c r="D608" t="s">
        <v>5300</v>
      </c>
      <c r="E608" t="s">
        <v>5301</v>
      </c>
      <c r="F608" t="s">
        <v>3562</v>
      </c>
      <c r="G608" t="s">
        <v>5302</v>
      </c>
    </row>
    <row r="609" customHeight="1" spans="1:7">
      <c r="A609" t="s">
        <v>16</v>
      </c>
      <c r="B609" t="s">
        <v>5217</v>
      </c>
      <c r="C609" t="s">
        <v>5218</v>
      </c>
      <c r="D609" t="s">
        <v>5303</v>
      </c>
      <c r="E609" t="s">
        <v>5304</v>
      </c>
      <c r="F609" t="s">
        <v>3562</v>
      </c>
      <c r="G609" t="s">
        <v>5305</v>
      </c>
    </row>
    <row r="610" customHeight="1" spans="1:7">
      <c r="A610" t="s">
        <v>16</v>
      </c>
      <c r="B610" t="s">
        <v>5306</v>
      </c>
      <c r="C610" t="s">
        <v>5307</v>
      </c>
      <c r="D610" t="s">
        <v>5308</v>
      </c>
      <c r="E610" t="s">
        <v>5309</v>
      </c>
      <c r="F610" t="s">
        <v>3562</v>
      </c>
      <c r="G610" t="s">
        <v>5310</v>
      </c>
    </row>
    <row r="611" customHeight="1" spans="1:7">
      <c r="A611" t="s">
        <v>16</v>
      </c>
      <c r="B611" t="s">
        <v>5306</v>
      </c>
      <c r="C611" t="s">
        <v>5307</v>
      </c>
      <c r="D611" t="s">
        <v>5311</v>
      </c>
      <c r="E611" t="s">
        <v>5312</v>
      </c>
      <c r="F611" t="s">
        <v>3562</v>
      </c>
      <c r="G611" t="s">
        <v>5313</v>
      </c>
    </row>
    <row r="612" customHeight="1" spans="1:7">
      <c r="A612" t="s">
        <v>16</v>
      </c>
      <c r="B612" t="s">
        <v>5306</v>
      </c>
      <c r="C612" t="s">
        <v>5307</v>
      </c>
      <c r="D612" t="s">
        <v>5314</v>
      </c>
      <c r="E612" t="s">
        <v>5315</v>
      </c>
      <c r="F612" t="s">
        <v>3562</v>
      </c>
      <c r="G612" t="s">
        <v>5316</v>
      </c>
    </row>
    <row r="613" customHeight="1" spans="1:7">
      <c r="A613" t="s">
        <v>16</v>
      </c>
      <c r="B613" t="s">
        <v>5306</v>
      </c>
      <c r="C613" t="s">
        <v>5307</v>
      </c>
      <c r="D613" t="s">
        <v>5317</v>
      </c>
      <c r="E613" t="s">
        <v>5318</v>
      </c>
      <c r="F613" t="s">
        <v>3567</v>
      </c>
      <c r="G613" t="s">
        <v>5319</v>
      </c>
    </row>
    <row r="614" customHeight="1" spans="1:7">
      <c r="A614" t="s">
        <v>16</v>
      </c>
      <c r="B614" t="s">
        <v>5306</v>
      </c>
      <c r="C614" t="s">
        <v>5307</v>
      </c>
      <c r="D614" t="s">
        <v>5320</v>
      </c>
      <c r="E614" t="s">
        <v>5321</v>
      </c>
      <c r="F614" t="s">
        <v>3562</v>
      </c>
      <c r="G614" t="s">
        <v>5322</v>
      </c>
    </row>
    <row r="615" customHeight="1" spans="1:7">
      <c r="A615" t="s">
        <v>16</v>
      </c>
      <c r="B615" t="s">
        <v>5306</v>
      </c>
      <c r="C615" t="s">
        <v>5307</v>
      </c>
      <c r="D615" t="s">
        <v>5323</v>
      </c>
      <c r="E615" t="s">
        <v>5324</v>
      </c>
      <c r="F615" t="s">
        <v>3562</v>
      </c>
      <c r="G615" t="s">
        <v>5325</v>
      </c>
    </row>
    <row r="616" customHeight="1" spans="1:7">
      <c r="A616" t="s">
        <v>16</v>
      </c>
      <c r="B616" t="s">
        <v>5306</v>
      </c>
      <c r="C616" t="s">
        <v>5307</v>
      </c>
      <c r="D616" t="s">
        <v>5326</v>
      </c>
      <c r="E616" t="s">
        <v>5327</v>
      </c>
      <c r="F616" t="s">
        <v>3562</v>
      </c>
      <c r="G616" t="s">
        <v>5328</v>
      </c>
    </row>
    <row r="617" customHeight="1" spans="1:7">
      <c r="A617" t="s">
        <v>16</v>
      </c>
      <c r="B617" t="s">
        <v>5306</v>
      </c>
      <c r="C617" t="s">
        <v>5307</v>
      </c>
      <c r="D617" t="s">
        <v>5306</v>
      </c>
      <c r="E617" t="s">
        <v>5307</v>
      </c>
      <c r="F617" t="s">
        <v>3559</v>
      </c>
      <c r="G617" t="s">
        <v>5329</v>
      </c>
    </row>
    <row r="618" customHeight="1" spans="1:7">
      <c r="A618" t="s">
        <v>16</v>
      </c>
      <c r="B618" t="s">
        <v>5306</v>
      </c>
      <c r="C618" t="s">
        <v>5307</v>
      </c>
      <c r="D618" t="s">
        <v>5330</v>
      </c>
      <c r="E618" t="s">
        <v>5331</v>
      </c>
      <c r="F618" t="s">
        <v>3562</v>
      </c>
      <c r="G618" t="s">
        <v>5332</v>
      </c>
    </row>
    <row r="619" customHeight="1" spans="1:7">
      <c r="A619" t="s">
        <v>16</v>
      </c>
      <c r="B619" t="s">
        <v>5306</v>
      </c>
      <c r="C619" t="s">
        <v>5307</v>
      </c>
      <c r="D619" t="s">
        <v>5333</v>
      </c>
      <c r="E619" t="s">
        <v>5334</v>
      </c>
      <c r="F619" t="s">
        <v>3562</v>
      </c>
      <c r="G619" t="s">
        <v>5335</v>
      </c>
    </row>
    <row r="620" customHeight="1" spans="1:7">
      <c r="A620" t="s">
        <v>16</v>
      </c>
      <c r="B620" t="s">
        <v>5306</v>
      </c>
      <c r="C620" t="s">
        <v>5307</v>
      </c>
      <c r="D620" t="s">
        <v>5336</v>
      </c>
      <c r="E620" t="s">
        <v>5337</v>
      </c>
      <c r="F620" t="s">
        <v>3562</v>
      </c>
      <c r="G620" t="s">
        <v>5338</v>
      </c>
    </row>
    <row r="621" customHeight="1" spans="1:7">
      <c r="A621" t="s">
        <v>16</v>
      </c>
      <c r="B621" t="s">
        <v>5306</v>
      </c>
      <c r="C621" t="s">
        <v>5307</v>
      </c>
      <c r="D621" t="s">
        <v>5339</v>
      </c>
      <c r="E621" t="s">
        <v>5340</v>
      </c>
      <c r="F621" t="s">
        <v>3562</v>
      </c>
      <c r="G621" t="s">
        <v>5341</v>
      </c>
    </row>
    <row r="622" customHeight="1" spans="1:7">
      <c r="A622" t="s">
        <v>16</v>
      </c>
      <c r="B622" t="s">
        <v>5306</v>
      </c>
      <c r="C622" t="s">
        <v>5307</v>
      </c>
      <c r="D622" t="s">
        <v>5342</v>
      </c>
      <c r="E622" t="s">
        <v>5343</v>
      </c>
      <c r="F622" t="s">
        <v>3562</v>
      </c>
      <c r="G622" t="s">
        <v>5344</v>
      </c>
    </row>
    <row r="623" customHeight="1" spans="1:7">
      <c r="A623" t="s">
        <v>16</v>
      </c>
      <c r="B623" t="s">
        <v>5306</v>
      </c>
      <c r="C623" t="s">
        <v>5307</v>
      </c>
      <c r="D623" t="s">
        <v>5345</v>
      </c>
      <c r="E623" t="s">
        <v>5346</v>
      </c>
      <c r="F623" t="s">
        <v>3562</v>
      </c>
      <c r="G623" t="s">
        <v>5347</v>
      </c>
    </row>
    <row r="624" customHeight="1" spans="1:7">
      <c r="A624" t="s">
        <v>16</v>
      </c>
      <c r="B624" t="s">
        <v>5306</v>
      </c>
      <c r="C624" t="s">
        <v>5307</v>
      </c>
      <c r="D624" t="s">
        <v>5348</v>
      </c>
      <c r="E624" t="s">
        <v>5349</v>
      </c>
      <c r="F624" t="s">
        <v>3562</v>
      </c>
      <c r="G624" t="s">
        <v>5350</v>
      </c>
    </row>
    <row r="625" customHeight="1" spans="1:7">
      <c r="A625" t="s">
        <v>16</v>
      </c>
      <c r="B625" t="s">
        <v>5306</v>
      </c>
      <c r="C625" t="s">
        <v>5307</v>
      </c>
      <c r="D625" t="s">
        <v>5351</v>
      </c>
      <c r="E625" t="s">
        <v>5352</v>
      </c>
      <c r="F625" t="s">
        <v>3562</v>
      </c>
      <c r="G625" t="s">
        <v>5353</v>
      </c>
    </row>
    <row r="626" customHeight="1" spans="1:7">
      <c r="A626" t="s">
        <v>16</v>
      </c>
      <c r="B626" t="s">
        <v>5354</v>
      </c>
      <c r="C626" t="s">
        <v>5355</v>
      </c>
      <c r="D626" t="s">
        <v>5356</v>
      </c>
      <c r="E626" t="s">
        <v>5357</v>
      </c>
      <c r="F626" t="s">
        <v>3562</v>
      </c>
      <c r="G626" t="s">
        <v>5358</v>
      </c>
    </row>
    <row r="627" customHeight="1" spans="1:7">
      <c r="A627" t="s">
        <v>16</v>
      </c>
      <c r="B627" t="s">
        <v>5354</v>
      </c>
      <c r="C627" t="s">
        <v>5355</v>
      </c>
      <c r="D627" t="s">
        <v>5359</v>
      </c>
      <c r="E627" t="s">
        <v>5360</v>
      </c>
      <c r="F627" t="s">
        <v>3562</v>
      </c>
      <c r="G627" t="s">
        <v>5361</v>
      </c>
    </row>
    <row r="628" customHeight="1" spans="1:7">
      <c r="A628" t="s">
        <v>16</v>
      </c>
      <c r="B628" t="s">
        <v>5354</v>
      </c>
      <c r="C628" t="s">
        <v>5355</v>
      </c>
      <c r="D628" t="s">
        <v>5362</v>
      </c>
      <c r="E628" t="s">
        <v>5363</v>
      </c>
      <c r="F628" t="s">
        <v>3562</v>
      </c>
      <c r="G628" t="s">
        <v>5364</v>
      </c>
    </row>
    <row r="629" customHeight="1" spans="1:7">
      <c r="A629" t="s">
        <v>16</v>
      </c>
      <c r="B629" t="s">
        <v>5354</v>
      </c>
      <c r="C629" t="s">
        <v>5355</v>
      </c>
      <c r="D629" t="s">
        <v>5365</v>
      </c>
      <c r="E629" t="s">
        <v>5366</v>
      </c>
      <c r="F629" t="s">
        <v>3562</v>
      </c>
      <c r="G629" t="s">
        <v>5367</v>
      </c>
    </row>
    <row r="630" customHeight="1" spans="1:7">
      <c r="A630" t="s">
        <v>16</v>
      </c>
      <c r="B630" t="s">
        <v>5354</v>
      </c>
      <c r="C630" t="s">
        <v>5355</v>
      </c>
      <c r="D630" t="s">
        <v>5368</v>
      </c>
      <c r="E630" t="s">
        <v>5369</v>
      </c>
      <c r="F630" t="s">
        <v>3567</v>
      </c>
      <c r="G630" t="s">
        <v>5370</v>
      </c>
    </row>
    <row r="631" customHeight="1" spans="1:7">
      <c r="A631" t="s">
        <v>16</v>
      </c>
      <c r="B631" t="s">
        <v>5354</v>
      </c>
      <c r="C631" t="s">
        <v>5355</v>
      </c>
      <c r="D631" t="s">
        <v>5371</v>
      </c>
      <c r="E631" t="s">
        <v>5372</v>
      </c>
      <c r="F631" t="s">
        <v>3562</v>
      </c>
      <c r="G631" t="s">
        <v>5373</v>
      </c>
    </row>
    <row r="632" customHeight="1" spans="1:7">
      <c r="A632" t="s">
        <v>16</v>
      </c>
      <c r="B632" t="s">
        <v>5354</v>
      </c>
      <c r="C632" t="s">
        <v>5355</v>
      </c>
      <c r="D632" t="s">
        <v>3574</v>
      </c>
      <c r="E632" t="s">
        <v>5374</v>
      </c>
      <c r="F632" t="s">
        <v>3562</v>
      </c>
      <c r="G632" t="s">
        <v>5375</v>
      </c>
    </row>
    <row r="633" customHeight="1" spans="1:7">
      <c r="A633" t="s">
        <v>16</v>
      </c>
      <c r="B633" t="s">
        <v>5354</v>
      </c>
      <c r="C633" t="s">
        <v>5355</v>
      </c>
      <c r="D633" t="s">
        <v>5376</v>
      </c>
      <c r="E633" t="s">
        <v>5377</v>
      </c>
      <c r="F633" t="s">
        <v>3562</v>
      </c>
      <c r="G633" t="s">
        <v>5378</v>
      </c>
    </row>
    <row r="634" customHeight="1" spans="1:7">
      <c r="A634" t="s">
        <v>16</v>
      </c>
      <c r="B634" t="s">
        <v>5354</v>
      </c>
      <c r="C634" t="s">
        <v>5355</v>
      </c>
      <c r="D634" t="s">
        <v>5379</v>
      </c>
      <c r="E634" t="s">
        <v>5380</v>
      </c>
      <c r="F634" t="s">
        <v>3562</v>
      </c>
      <c r="G634" t="s">
        <v>5381</v>
      </c>
    </row>
    <row r="635" customHeight="1" spans="1:7">
      <c r="A635" t="s">
        <v>16</v>
      </c>
      <c r="B635" t="s">
        <v>5354</v>
      </c>
      <c r="C635" t="s">
        <v>5355</v>
      </c>
      <c r="D635" t="s">
        <v>5354</v>
      </c>
      <c r="E635" t="s">
        <v>5355</v>
      </c>
      <c r="F635" t="s">
        <v>3559</v>
      </c>
      <c r="G635" t="s">
        <v>5382</v>
      </c>
    </row>
    <row r="636" customHeight="1" spans="1:7">
      <c r="A636" t="s">
        <v>16</v>
      </c>
      <c r="B636" t="s">
        <v>5354</v>
      </c>
      <c r="C636" t="s">
        <v>5355</v>
      </c>
      <c r="D636" t="s">
        <v>5383</v>
      </c>
      <c r="E636" t="s">
        <v>5384</v>
      </c>
      <c r="F636" t="s">
        <v>3562</v>
      </c>
      <c r="G636" t="s">
        <v>5385</v>
      </c>
    </row>
    <row r="637" customHeight="1" spans="1:7">
      <c r="A637" t="s">
        <v>16</v>
      </c>
      <c r="B637" t="s">
        <v>5354</v>
      </c>
      <c r="C637" t="s">
        <v>5355</v>
      </c>
      <c r="D637" t="s">
        <v>5386</v>
      </c>
      <c r="E637" t="s">
        <v>5387</v>
      </c>
      <c r="F637" t="s">
        <v>3562</v>
      </c>
      <c r="G637" t="s">
        <v>5388</v>
      </c>
    </row>
    <row r="638" customHeight="1" spans="1:7">
      <c r="A638" t="s">
        <v>16</v>
      </c>
      <c r="B638" t="s">
        <v>5354</v>
      </c>
      <c r="C638" t="s">
        <v>5355</v>
      </c>
      <c r="D638" t="s">
        <v>5389</v>
      </c>
      <c r="E638" t="s">
        <v>5390</v>
      </c>
      <c r="F638" t="s">
        <v>3562</v>
      </c>
      <c r="G638" t="s">
        <v>5391</v>
      </c>
    </row>
    <row r="639" customHeight="1" spans="1:7">
      <c r="A639" t="s">
        <v>16</v>
      </c>
      <c r="B639" t="s">
        <v>5354</v>
      </c>
      <c r="C639" t="s">
        <v>5355</v>
      </c>
      <c r="D639" t="s">
        <v>5392</v>
      </c>
      <c r="E639" t="s">
        <v>5393</v>
      </c>
      <c r="F639" t="s">
        <v>3562</v>
      </c>
      <c r="G639" t="s">
        <v>5394</v>
      </c>
    </row>
    <row r="640" customHeight="1" spans="1:7">
      <c r="A640" t="s">
        <v>16</v>
      </c>
      <c r="B640" t="s">
        <v>5354</v>
      </c>
      <c r="C640" t="s">
        <v>5355</v>
      </c>
      <c r="D640" t="s">
        <v>5395</v>
      </c>
      <c r="E640" t="s">
        <v>5396</v>
      </c>
      <c r="F640" t="s">
        <v>3562</v>
      </c>
      <c r="G640" t="s">
        <v>5397</v>
      </c>
    </row>
    <row r="641" customHeight="1" spans="1:7">
      <c r="A641" t="s">
        <v>16</v>
      </c>
      <c r="B641" t="s">
        <v>5354</v>
      </c>
      <c r="C641" t="s">
        <v>5355</v>
      </c>
      <c r="D641" t="s">
        <v>5398</v>
      </c>
      <c r="E641" t="s">
        <v>5399</v>
      </c>
      <c r="F641" t="s">
        <v>3562</v>
      </c>
      <c r="G641" t="s">
        <v>5400</v>
      </c>
    </row>
    <row r="642" customHeight="1" spans="1:7">
      <c r="A642" t="s">
        <v>16</v>
      </c>
      <c r="B642" t="s">
        <v>5354</v>
      </c>
      <c r="C642" t="s">
        <v>5355</v>
      </c>
      <c r="D642" t="s">
        <v>5401</v>
      </c>
      <c r="E642" t="s">
        <v>5402</v>
      </c>
      <c r="F642" t="s">
        <v>3562</v>
      </c>
      <c r="G642" t="s">
        <v>5403</v>
      </c>
    </row>
    <row r="643" customHeight="1" spans="1:7">
      <c r="A643" t="s">
        <v>16</v>
      </c>
      <c r="B643" t="s">
        <v>5354</v>
      </c>
      <c r="C643" t="s">
        <v>5355</v>
      </c>
      <c r="D643" t="s">
        <v>5404</v>
      </c>
      <c r="E643" t="s">
        <v>5405</v>
      </c>
      <c r="F643" t="s">
        <v>3562</v>
      </c>
      <c r="G643" t="s">
        <v>5406</v>
      </c>
    </row>
    <row r="644" customHeight="1" spans="1:7">
      <c r="A644" t="s">
        <v>16</v>
      </c>
      <c r="B644" t="s">
        <v>5354</v>
      </c>
      <c r="C644" t="s">
        <v>5355</v>
      </c>
      <c r="D644" t="s">
        <v>5407</v>
      </c>
      <c r="E644" t="s">
        <v>5408</v>
      </c>
      <c r="F644" t="s">
        <v>3562</v>
      </c>
      <c r="G644" t="s">
        <v>5409</v>
      </c>
    </row>
    <row r="645" customHeight="1" spans="1:7">
      <c r="A645" t="s">
        <v>16</v>
      </c>
      <c r="B645" t="s">
        <v>5354</v>
      </c>
      <c r="C645" t="s">
        <v>5355</v>
      </c>
      <c r="D645" t="s">
        <v>5410</v>
      </c>
      <c r="E645" t="s">
        <v>5411</v>
      </c>
      <c r="F645" t="s">
        <v>3562</v>
      </c>
      <c r="G645" t="s">
        <v>5412</v>
      </c>
    </row>
    <row r="646" customHeight="1" spans="1:7">
      <c r="A646" t="s">
        <v>16</v>
      </c>
      <c r="B646" t="s">
        <v>5354</v>
      </c>
      <c r="C646" t="s">
        <v>5355</v>
      </c>
      <c r="D646" t="s">
        <v>5413</v>
      </c>
      <c r="E646" t="s">
        <v>5414</v>
      </c>
      <c r="F646" t="s">
        <v>3562</v>
      </c>
      <c r="G646" t="s">
        <v>5415</v>
      </c>
    </row>
    <row r="647" customHeight="1" spans="1:7">
      <c r="A647" t="s">
        <v>16</v>
      </c>
      <c r="B647" t="s">
        <v>5416</v>
      </c>
      <c r="C647" t="s">
        <v>5417</v>
      </c>
      <c r="D647" t="s">
        <v>5418</v>
      </c>
      <c r="E647" t="s">
        <v>5419</v>
      </c>
      <c r="F647" t="s">
        <v>3562</v>
      </c>
      <c r="G647" t="s">
        <v>5420</v>
      </c>
    </row>
    <row r="648" customHeight="1" spans="1:7">
      <c r="A648" t="s">
        <v>16</v>
      </c>
      <c r="B648" t="s">
        <v>5416</v>
      </c>
      <c r="C648" t="s">
        <v>5417</v>
      </c>
      <c r="D648" t="s">
        <v>5421</v>
      </c>
      <c r="E648" t="s">
        <v>5422</v>
      </c>
      <c r="F648" t="s">
        <v>3562</v>
      </c>
      <c r="G648" t="s">
        <v>5423</v>
      </c>
    </row>
    <row r="649" customHeight="1" spans="1:7">
      <c r="A649" t="s">
        <v>16</v>
      </c>
      <c r="B649" t="s">
        <v>5416</v>
      </c>
      <c r="C649" t="s">
        <v>5417</v>
      </c>
      <c r="D649" t="s">
        <v>5424</v>
      </c>
      <c r="E649" t="s">
        <v>5425</v>
      </c>
      <c r="F649" t="s">
        <v>3562</v>
      </c>
      <c r="G649" t="s">
        <v>5426</v>
      </c>
    </row>
    <row r="650" customHeight="1" spans="1:7">
      <c r="A650" t="s">
        <v>16</v>
      </c>
      <c r="B650" t="s">
        <v>5416</v>
      </c>
      <c r="C650" t="s">
        <v>5417</v>
      </c>
      <c r="D650" t="s">
        <v>5427</v>
      </c>
      <c r="E650" t="s">
        <v>5428</v>
      </c>
      <c r="F650" t="s">
        <v>3562</v>
      </c>
      <c r="G650" t="s">
        <v>5429</v>
      </c>
    </row>
    <row r="651" customHeight="1" spans="1:7">
      <c r="A651" t="s">
        <v>16</v>
      </c>
      <c r="B651" t="s">
        <v>5416</v>
      </c>
      <c r="C651" t="s">
        <v>5417</v>
      </c>
      <c r="D651" t="s">
        <v>5430</v>
      </c>
      <c r="E651" t="s">
        <v>5431</v>
      </c>
      <c r="F651" t="s">
        <v>3562</v>
      </c>
      <c r="G651" t="s">
        <v>5432</v>
      </c>
    </row>
    <row r="652" customHeight="1" spans="1:7">
      <c r="A652" t="s">
        <v>16</v>
      </c>
      <c r="B652" t="s">
        <v>5416</v>
      </c>
      <c r="C652" t="s">
        <v>5417</v>
      </c>
      <c r="D652" t="s">
        <v>5433</v>
      </c>
      <c r="E652" t="s">
        <v>5434</v>
      </c>
      <c r="F652" t="s">
        <v>3562</v>
      </c>
      <c r="G652" t="s">
        <v>5435</v>
      </c>
    </row>
    <row r="653" customHeight="1" spans="1:7">
      <c r="A653" t="s">
        <v>16</v>
      </c>
      <c r="B653" t="s">
        <v>5416</v>
      </c>
      <c r="C653" t="s">
        <v>5417</v>
      </c>
      <c r="D653" t="s">
        <v>5436</v>
      </c>
      <c r="E653" t="s">
        <v>5437</v>
      </c>
      <c r="F653" t="s">
        <v>3562</v>
      </c>
      <c r="G653" t="s">
        <v>5438</v>
      </c>
    </row>
    <row r="654" customHeight="1" spans="1:7">
      <c r="A654" t="s">
        <v>16</v>
      </c>
      <c r="B654" t="s">
        <v>5416</v>
      </c>
      <c r="C654" t="s">
        <v>5417</v>
      </c>
      <c r="D654" t="s">
        <v>5439</v>
      </c>
      <c r="E654" t="s">
        <v>5440</v>
      </c>
      <c r="F654" t="s">
        <v>3562</v>
      </c>
      <c r="G654" t="s">
        <v>5441</v>
      </c>
    </row>
    <row r="655" customHeight="1" spans="1:7">
      <c r="A655" t="s">
        <v>16</v>
      </c>
      <c r="B655" t="s">
        <v>5416</v>
      </c>
      <c r="C655" t="s">
        <v>5417</v>
      </c>
      <c r="D655" t="s">
        <v>5442</v>
      </c>
      <c r="E655" t="s">
        <v>5443</v>
      </c>
      <c r="F655" t="s">
        <v>3562</v>
      </c>
      <c r="G655" t="s">
        <v>5444</v>
      </c>
    </row>
    <row r="656" customHeight="1" spans="1:7">
      <c r="A656" t="s">
        <v>16</v>
      </c>
      <c r="B656" t="s">
        <v>5416</v>
      </c>
      <c r="C656" t="s">
        <v>5417</v>
      </c>
      <c r="D656" t="s">
        <v>5445</v>
      </c>
      <c r="E656" t="s">
        <v>5446</v>
      </c>
      <c r="F656" t="s">
        <v>3562</v>
      </c>
      <c r="G656" t="s">
        <v>5447</v>
      </c>
    </row>
    <row r="657" customHeight="1" spans="1:7">
      <c r="A657" t="s">
        <v>16</v>
      </c>
      <c r="B657" t="s">
        <v>5416</v>
      </c>
      <c r="C657" t="s">
        <v>5417</v>
      </c>
      <c r="D657" t="s">
        <v>5416</v>
      </c>
      <c r="E657" t="s">
        <v>5417</v>
      </c>
      <c r="F657" t="s">
        <v>3559</v>
      </c>
      <c r="G657" t="s">
        <v>5448</v>
      </c>
    </row>
    <row r="658" customHeight="1" spans="1:7">
      <c r="A658" t="s">
        <v>16</v>
      </c>
      <c r="B658" t="s">
        <v>5416</v>
      </c>
      <c r="C658" t="s">
        <v>5417</v>
      </c>
      <c r="D658" t="s">
        <v>5449</v>
      </c>
      <c r="E658" t="s">
        <v>5450</v>
      </c>
      <c r="F658" t="s">
        <v>3562</v>
      </c>
      <c r="G658" t="s">
        <v>5451</v>
      </c>
    </row>
    <row r="659" customHeight="1" spans="1:7">
      <c r="A659" t="s">
        <v>16</v>
      </c>
      <c r="B659" t="s">
        <v>5416</v>
      </c>
      <c r="C659" t="s">
        <v>5417</v>
      </c>
      <c r="D659" t="s">
        <v>5452</v>
      </c>
      <c r="E659" t="s">
        <v>5453</v>
      </c>
      <c r="F659" t="s">
        <v>3562</v>
      </c>
      <c r="G659" t="s">
        <v>5454</v>
      </c>
    </row>
    <row r="660" customHeight="1" spans="1:7">
      <c r="A660" t="s">
        <v>16</v>
      </c>
      <c r="B660" t="s">
        <v>5416</v>
      </c>
      <c r="C660" t="s">
        <v>5417</v>
      </c>
      <c r="D660" t="s">
        <v>5455</v>
      </c>
      <c r="E660" t="s">
        <v>5456</v>
      </c>
      <c r="F660" t="s">
        <v>3562</v>
      </c>
      <c r="G660" t="s">
        <v>5457</v>
      </c>
    </row>
    <row r="661" customHeight="1" spans="1:7">
      <c r="A661" t="s">
        <v>16</v>
      </c>
      <c r="B661" t="s">
        <v>5416</v>
      </c>
      <c r="C661" t="s">
        <v>5417</v>
      </c>
      <c r="D661" t="s">
        <v>4506</v>
      </c>
      <c r="E661" t="s">
        <v>5458</v>
      </c>
      <c r="F661" t="s">
        <v>3562</v>
      </c>
      <c r="G661" t="s">
        <v>5459</v>
      </c>
    </row>
    <row r="662" customHeight="1" spans="1:7">
      <c r="A662" t="s">
        <v>16</v>
      </c>
      <c r="B662" t="s">
        <v>5416</v>
      </c>
      <c r="C662" t="s">
        <v>5417</v>
      </c>
      <c r="D662" t="s">
        <v>5460</v>
      </c>
      <c r="E662" t="s">
        <v>5461</v>
      </c>
      <c r="F662" t="s">
        <v>3562</v>
      </c>
      <c r="G662" t="s">
        <v>5462</v>
      </c>
    </row>
    <row r="663" customHeight="1" spans="1:7">
      <c r="A663" t="s">
        <v>16</v>
      </c>
      <c r="B663" t="s">
        <v>5416</v>
      </c>
      <c r="C663" t="s">
        <v>5417</v>
      </c>
      <c r="D663" t="s">
        <v>5463</v>
      </c>
      <c r="E663" t="s">
        <v>5464</v>
      </c>
      <c r="F663" t="s">
        <v>3562</v>
      </c>
      <c r="G663" t="s">
        <v>5465</v>
      </c>
    </row>
    <row r="664" customHeight="1" spans="1:7">
      <c r="A664" t="s">
        <v>16</v>
      </c>
      <c r="B664" t="s">
        <v>5416</v>
      </c>
      <c r="C664" t="s">
        <v>5417</v>
      </c>
      <c r="D664" t="s">
        <v>5466</v>
      </c>
      <c r="E664" t="s">
        <v>5467</v>
      </c>
      <c r="F664" t="s">
        <v>3562</v>
      </c>
      <c r="G664" t="s">
        <v>5468</v>
      </c>
    </row>
    <row r="665" customHeight="1" spans="1:7">
      <c r="A665" t="s">
        <v>16</v>
      </c>
      <c r="B665" t="s">
        <v>5416</v>
      </c>
      <c r="C665" t="s">
        <v>5417</v>
      </c>
      <c r="D665" t="s">
        <v>5469</v>
      </c>
      <c r="E665" t="s">
        <v>5470</v>
      </c>
      <c r="F665" t="s">
        <v>3562</v>
      </c>
      <c r="G665" t="s">
        <v>5471</v>
      </c>
    </row>
    <row r="666" customHeight="1" spans="1:7">
      <c r="A666" t="s">
        <v>16</v>
      </c>
      <c r="B666" t="s">
        <v>5416</v>
      </c>
      <c r="C666" t="s">
        <v>5417</v>
      </c>
      <c r="D666" t="s">
        <v>5472</v>
      </c>
      <c r="E666" t="s">
        <v>5473</v>
      </c>
      <c r="F666" t="s">
        <v>3562</v>
      </c>
      <c r="G666" t="s">
        <v>5474</v>
      </c>
    </row>
    <row r="667" customHeight="1" spans="1:7">
      <c r="A667" t="s">
        <v>16</v>
      </c>
      <c r="B667" t="s">
        <v>5475</v>
      </c>
      <c r="C667" t="s">
        <v>5476</v>
      </c>
      <c r="D667" t="s">
        <v>5477</v>
      </c>
      <c r="E667" t="s">
        <v>5478</v>
      </c>
      <c r="F667" t="s">
        <v>3562</v>
      </c>
      <c r="G667" t="s">
        <v>5479</v>
      </c>
    </row>
    <row r="668" customHeight="1" spans="1:7">
      <c r="A668" t="s">
        <v>16</v>
      </c>
      <c r="B668" t="s">
        <v>5475</v>
      </c>
      <c r="C668" t="s">
        <v>5476</v>
      </c>
      <c r="D668" t="s">
        <v>5480</v>
      </c>
      <c r="E668" t="s">
        <v>5481</v>
      </c>
      <c r="F668" t="s">
        <v>3567</v>
      </c>
      <c r="G668" t="s">
        <v>5482</v>
      </c>
    </row>
    <row r="669" customHeight="1" spans="1:7">
      <c r="A669" t="s">
        <v>16</v>
      </c>
      <c r="B669" t="s">
        <v>5475</v>
      </c>
      <c r="C669" t="s">
        <v>5476</v>
      </c>
      <c r="D669" t="s">
        <v>5483</v>
      </c>
      <c r="E669" t="s">
        <v>5484</v>
      </c>
      <c r="F669" t="s">
        <v>3562</v>
      </c>
      <c r="G669" t="s">
        <v>5485</v>
      </c>
    </row>
    <row r="670" customHeight="1" spans="1:7">
      <c r="A670" t="s">
        <v>16</v>
      </c>
      <c r="B670" t="s">
        <v>5475</v>
      </c>
      <c r="C670" t="s">
        <v>5476</v>
      </c>
      <c r="D670" t="s">
        <v>5486</v>
      </c>
      <c r="E670" t="s">
        <v>5487</v>
      </c>
      <c r="F670" t="s">
        <v>3562</v>
      </c>
      <c r="G670" t="s">
        <v>5488</v>
      </c>
    </row>
    <row r="671" customHeight="1" spans="1:7">
      <c r="A671" t="s">
        <v>16</v>
      </c>
      <c r="B671" t="s">
        <v>5475</v>
      </c>
      <c r="C671" t="s">
        <v>5476</v>
      </c>
      <c r="D671" t="s">
        <v>5489</v>
      </c>
      <c r="E671" t="s">
        <v>5490</v>
      </c>
      <c r="F671" t="s">
        <v>3562</v>
      </c>
      <c r="G671" t="s">
        <v>5491</v>
      </c>
    </row>
    <row r="672" customHeight="1" spans="1:7">
      <c r="A672" t="s">
        <v>16</v>
      </c>
      <c r="B672" t="s">
        <v>5475</v>
      </c>
      <c r="C672" t="s">
        <v>5476</v>
      </c>
      <c r="D672" t="s">
        <v>5492</v>
      </c>
      <c r="E672" t="s">
        <v>5493</v>
      </c>
      <c r="F672" t="s">
        <v>3562</v>
      </c>
      <c r="G672" t="s">
        <v>5494</v>
      </c>
    </row>
    <row r="673" customHeight="1" spans="1:7">
      <c r="A673" t="s">
        <v>16</v>
      </c>
      <c r="B673" t="s">
        <v>5475</v>
      </c>
      <c r="C673" t="s">
        <v>5476</v>
      </c>
      <c r="D673" t="s">
        <v>5495</v>
      </c>
      <c r="E673" t="s">
        <v>5496</v>
      </c>
      <c r="F673" t="s">
        <v>3562</v>
      </c>
      <c r="G673" t="s">
        <v>5497</v>
      </c>
    </row>
    <row r="674" customHeight="1" spans="1:7">
      <c r="A674" t="s">
        <v>16</v>
      </c>
      <c r="B674" t="s">
        <v>5475</v>
      </c>
      <c r="C674" t="s">
        <v>5476</v>
      </c>
      <c r="D674" t="s">
        <v>5498</v>
      </c>
      <c r="E674" t="s">
        <v>5499</v>
      </c>
      <c r="F674" t="s">
        <v>3562</v>
      </c>
      <c r="G674" t="s">
        <v>5500</v>
      </c>
    </row>
    <row r="675" customHeight="1" spans="1:7">
      <c r="A675" t="s">
        <v>16</v>
      </c>
      <c r="B675" t="s">
        <v>5475</v>
      </c>
      <c r="C675" t="s">
        <v>5476</v>
      </c>
      <c r="D675" t="s">
        <v>5095</v>
      </c>
      <c r="E675" t="s">
        <v>5501</v>
      </c>
      <c r="F675" t="s">
        <v>3562</v>
      </c>
      <c r="G675" t="s">
        <v>5502</v>
      </c>
    </row>
    <row r="676" customHeight="1" spans="1:7">
      <c r="A676" t="s">
        <v>16</v>
      </c>
      <c r="B676" t="s">
        <v>5475</v>
      </c>
      <c r="C676" t="s">
        <v>5476</v>
      </c>
      <c r="D676" t="s">
        <v>5475</v>
      </c>
      <c r="E676" t="s">
        <v>5476</v>
      </c>
      <c r="F676" t="s">
        <v>3559</v>
      </c>
      <c r="G676" t="s">
        <v>5503</v>
      </c>
    </row>
    <row r="677" customHeight="1" spans="1:7">
      <c r="A677" t="s">
        <v>16</v>
      </c>
      <c r="B677" t="s">
        <v>5475</v>
      </c>
      <c r="C677" t="s">
        <v>5476</v>
      </c>
      <c r="D677" t="s">
        <v>5504</v>
      </c>
      <c r="E677" t="s">
        <v>5505</v>
      </c>
      <c r="F677" t="s">
        <v>3562</v>
      </c>
      <c r="G677" t="s">
        <v>5506</v>
      </c>
    </row>
    <row r="678" customHeight="1" spans="1:7">
      <c r="A678" t="s">
        <v>16</v>
      </c>
      <c r="B678" t="s">
        <v>5475</v>
      </c>
      <c r="C678" t="s">
        <v>5476</v>
      </c>
      <c r="D678" t="s">
        <v>5507</v>
      </c>
      <c r="E678" t="s">
        <v>5508</v>
      </c>
      <c r="F678" t="s">
        <v>3562</v>
      </c>
      <c r="G678" t="s">
        <v>5509</v>
      </c>
    </row>
    <row r="679" customHeight="1" spans="1:7">
      <c r="A679" t="s">
        <v>16</v>
      </c>
      <c r="B679" t="s">
        <v>5475</v>
      </c>
      <c r="C679" t="s">
        <v>5476</v>
      </c>
      <c r="D679" t="s">
        <v>4286</v>
      </c>
      <c r="E679" t="s">
        <v>5510</v>
      </c>
      <c r="F679" t="s">
        <v>3562</v>
      </c>
      <c r="G679" t="s">
        <v>5511</v>
      </c>
    </row>
    <row r="680" customHeight="1" spans="1:7">
      <c r="A680" t="s">
        <v>16</v>
      </c>
      <c r="B680" t="s">
        <v>5475</v>
      </c>
      <c r="C680" t="s">
        <v>5476</v>
      </c>
      <c r="D680" t="s">
        <v>5512</v>
      </c>
      <c r="E680" t="s">
        <v>5513</v>
      </c>
      <c r="F680" t="s">
        <v>3562</v>
      </c>
      <c r="G680" t="s">
        <v>5514</v>
      </c>
    </row>
    <row r="681" customHeight="1" spans="1:7">
      <c r="A681" t="s">
        <v>16</v>
      </c>
      <c r="B681" t="s">
        <v>5475</v>
      </c>
      <c r="C681" t="s">
        <v>5476</v>
      </c>
      <c r="D681" t="s">
        <v>5515</v>
      </c>
      <c r="E681" t="s">
        <v>5516</v>
      </c>
      <c r="F681" t="s">
        <v>3562</v>
      </c>
      <c r="G681" t="s">
        <v>5517</v>
      </c>
    </row>
    <row r="682" customHeight="1" spans="1:7">
      <c r="A682" t="s">
        <v>16</v>
      </c>
      <c r="B682" t="s">
        <v>5475</v>
      </c>
      <c r="C682" t="s">
        <v>5476</v>
      </c>
      <c r="D682" t="s">
        <v>5518</v>
      </c>
      <c r="E682" t="s">
        <v>5519</v>
      </c>
      <c r="F682" t="s">
        <v>3562</v>
      </c>
      <c r="G682" t="s">
        <v>5520</v>
      </c>
    </row>
    <row r="683" customHeight="1" spans="1:7">
      <c r="A683" t="s">
        <v>16</v>
      </c>
      <c r="B683" t="s">
        <v>5475</v>
      </c>
      <c r="C683" t="s">
        <v>5476</v>
      </c>
      <c r="D683" t="s">
        <v>5521</v>
      </c>
      <c r="E683" t="s">
        <v>5522</v>
      </c>
      <c r="F683" t="s">
        <v>3562</v>
      </c>
      <c r="G683" t="s">
        <v>5523</v>
      </c>
    </row>
    <row r="684" customHeight="1" spans="1:7">
      <c r="A684" t="s">
        <v>16</v>
      </c>
      <c r="B684" t="s">
        <v>5475</v>
      </c>
      <c r="C684" t="s">
        <v>5476</v>
      </c>
      <c r="D684" t="s">
        <v>5524</v>
      </c>
      <c r="E684" t="s">
        <v>5525</v>
      </c>
      <c r="F684" t="s">
        <v>3664</v>
      </c>
      <c r="G684" t="s">
        <v>5526</v>
      </c>
    </row>
    <row r="685" customHeight="1" spans="1:7">
      <c r="A685" t="s">
        <v>16</v>
      </c>
      <c r="B685" t="s">
        <v>5527</v>
      </c>
      <c r="C685" t="s">
        <v>5528</v>
      </c>
      <c r="D685" t="s">
        <v>5529</v>
      </c>
      <c r="E685" t="s">
        <v>5530</v>
      </c>
      <c r="F685" t="s">
        <v>3562</v>
      </c>
      <c r="G685" t="s">
        <v>5531</v>
      </c>
    </row>
    <row r="686" customHeight="1" spans="1:7">
      <c r="A686" t="s">
        <v>16</v>
      </c>
      <c r="B686" t="s">
        <v>5527</v>
      </c>
      <c r="C686" t="s">
        <v>5528</v>
      </c>
      <c r="D686" t="s">
        <v>5532</v>
      </c>
      <c r="E686" t="s">
        <v>5533</v>
      </c>
      <c r="F686" t="s">
        <v>3562</v>
      </c>
      <c r="G686" t="s">
        <v>5534</v>
      </c>
    </row>
    <row r="687" customHeight="1" spans="1:7">
      <c r="A687" t="s">
        <v>16</v>
      </c>
      <c r="B687" t="s">
        <v>5527</v>
      </c>
      <c r="C687" t="s">
        <v>5528</v>
      </c>
      <c r="D687" t="s">
        <v>5535</v>
      </c>
      <c r="E687" t="s">
        <v>5536</v>
      </c>
      <c r="F687" t="s">
        <v>3562</v>
      </c>
      <c r="G687" t="s">
        <v>5537</v>
      </c>
    </row>
    <row r="688" customHeight="1" spans="1:7">
      <c r="A688" t="s">
        <v>16</v>
      </c>
      <c r="B688" t="s">
        <v>5527</v>
      </c>
      <c r="C688" t="s">
        <v>5528</v>
      </c>
      <c r="D688" t="s">
        <v>5538</v>
      </c>
      <c r="E688" t="s">
        <v>5539</v>
      </c>
      <c r="F688" t="s">
        <v>3562</v>
      </c>
      <c r="G688" t="s">
        <v>5540</v>
      </c>
    </row>
    <row r="689" customHeight="1" spans="1:7">
      <c r="A689" t="s">
        <v>16</v>
      </c>
      <c r="B689" t="s">
        <v>5527</v>
      </c>
      <c r="C689" t="s">
        <v>5528</v>
      </c>
      <c r="D689" t="s">
        <v>5541</v>
      </c>
      <c r="E689" t="s">
        <v>5542</v>
      </c>
      <c r="F689" t="s">
        <v>3562</v>
      </c>
      <c r="G689" t="s">
        <v>5543</v>
      </c>
    </row>
    <row r="690" customHeight="1" spans="1:7">
      <c r="A690" t="s">
        <v>16</v>
      </c>
      <c r="B690" t="s">
        <v>5527</v>
      </c>
      <c r="C690" t="s">
        <v>5528</v>
      </c>
      <c r="D690" t="s">
        <v>5544</v>
      </c>
      <c r="E690" t="s">
        <v>5545</v>
      </c>
      <c r="F690" t="s">
        <v>3562</v>
      </c>
      <c r="G690" t="s">
        <v>5546</v>
      </c>
    </row>
    <row r="691" customHeight="1" spans="1:7">
      <c r="A691" t="s">
        <v>16</v>
      </c>
      <c r="B691" t="s">
        <v>5527</v>
      </c>
      <c r="C691" t="s">
        <v>5528</v>
      </c>
      <c r="D691" t="s">
        <v>5547</v>
      </c>
      <c r="E691" t="s">
        <v>5548</v>
      </c>
      <c r="F691" t="s">
        <v>3562</v>
      </c>
      <c r="G691" t="s">
        <v>5549</v>
      </c>
    </row>
    <row r="692" customHeight="1" spans="1:7">
      <c r="A692" t="s">
        <v>16</v>
      </c>
      <c r="B692" t="s">
        <v>5527</v>
      </c>
      <c r="C692" t="s">
        <v>5528</v>
      </c>
      <c r="D692" t="s">
        <v>5550</v>
      </c>
      <c r="E692" t="s">
        <v>5551</v>
      </c>
      <c r="F692" t="s">
        <v>3562</v>
      </c>
      <c r="G692" t="s">
        <v>5552</v>
      </c>
    </row>
    <row r="693" customHeight="1" spans="1:7">
      <c r="A693" t="s">
        <v>16</v>
      </c>
      <c r="B693" t="s">
        <v>5527</v>
      </c>
      <c r="C693" t="s">
        <v>5528</v>
      </c>
      <c r="D693" t="s">
        <v>5527</v>
      </c>
      <c r="E693" t="s">
        <v>5528</v>
      </c>
      <c r="F693" t="s">
        <v>3559</v>
      </c>
      <c r="G693" t="s">
        <v>5553</v>
      </c>
    </row>
    <row r="694" customHeight="1" spans="1:7">
      <c r="A694" t="s">
        <v>16</v>
      </c>
      <c r="B694" t="s">
        <v>5527</v>
      </c>
      <c r="C694" t="s">
        <v>5528</v>
      </c>
      <c r="D694" t="s">
        <v>5554</v>
      </c>
      <c r="E694" t="s">
        <v>5555</v>
      </c>
      <c r="F694" t="s">
        <v>3562</v>
      </c>
      <c r="G694" t="s">
        <v>5556</v>
      </c>
    </row>
    <row r="695" customHeight="1" spans="1:7">
      <c r="A695" t="s">
        <v>16</v>
      </c>
      <c r="B695" t="s">
        <v>5527</v>
      </c>
      <c r="C695" t="s">
        <v>5528</v>
      </c>
      <c r="D695" t="s">
        <v>5557</v>
      </c>
      <c r="E695" t="s">
        <v>5558</v>
      </c>
      <c r="F695" t="s">
        <v>3562</v>
      </c>
      <c r="G695" t="s">
        <v>5559</v>
      </c>
    </row>
    <row r="696" customHeight="1" spans="1:7">
      <c r="A696" t="s">
        <v>16</v>
      </c>
      <c r="B696" t="s">
        <v>5527</v>
      </c>
      <c r="C696" t="s">
        <v>5528</v>
      </c>
      <c r="D696" t="s">
        <v>5560</v>
      </c>
      <c r="E696" t="s">
        <v>5561</v>
      </c>
      <c r="F696" t="s">
        <v>3562</v>
      </c>
      <c r="G696" t="s">
        <v>5562</v>
      </c>
    </row>
    <row r="697" customHeight="1" spans="1:7">
      <c r="A697" t="s">
        <v>16</v>
      </c>
      <c r="B697" t="s">
        <v>5527</v>
      </c>
      <c r="C697" t="s">
        <v>5528</v>
      </c>
      <c r="D697" t="s">
        <v>4849</v>
      </c>
      <c r="E697" t="s">
        <v>5563</v>
      </c>
      <c r="F697" t="s">
        <v>3562</v>
      </c>
      <c r="G697" t="s">
        <v>5564</v>
      </c>
    </row>
    <row r="698" customHeight="1" spans="1:7">
      <c r="A698" t="s">
        <v>16</v>
      </c>
      <c r="B698" t="s">
        <v>5527</v>
      </c>
      <c r="C698" t="s">
        <v>5528</v>
      </c>
      <c r="D698" t="s">
        <v>5565</v>
      </c>
      <c r="E698" t="s">
        <v>5566</v>
      </c>
      <c r="F698" t="s">
        <v>3562</v>
      </c>
      <c r="G698" t="s">
        <v>5567</v>
      </c>
    </row>
    <row r="699" customHeight="1" spans="1:7">
      <c r="A699" t="s">
        <v>16</v>
      </c>
      <c r="B699" t="s">
        <v>5527</v>
      </c>
      <c r="C699" t="s">
        <v>5528</v>
      </c>
      <c r="D699" t="s">
        <v>5568</v>
      </c>
      <c r="E699" t="s">
        <v>5569</v>
      </c>
      <c r="F699" t="s">
        <v>3562</v>
      </c>
      <c r="G699" t="s">
        <v>5570</v>
      </c>
    </row>
    <row r="700" customHeight="1" spans="1:7">
      <c r="A700" t="s">
        <v>16</v>
      </c>
      <c r="B700" t="s">
        <v>5527</v>
      </c>
      <c r="C700" t="s">
        <v>5528</v>
      </c>
      <c r="D700" t="s">
        <v>5571</v>
      </c>
      <c r="E700" t="s">
        <v>5572</v>
      </c>
      <c r="F700" t="s">
        <v>3562</v>
      </c>
      <c r="G700" t="s">
        <v>5573</v>
      </c>
    </row>
    <row r="701" customHeight="1" spans="1:7">
      <c r="A701" t="s">
        <v>16</v>
      </c>
      <c r="B701" t="s">
        <v>5574</v>
      </c>
      <c r="C701" t="s">
        <v>5575</v>
      </c>
      <c r="D701" t="s">
        <v>5576</v>
      </c>
      <c r="E701" t="s">
        <v>5577</v>
      </c>
      <c r="F701" t="s">
        <v>3562</v>
      </c>
      <c r="G701" t="s">
        <v>5578</v>
      </c>
    </row>
    <row r="702" customHeight="1" spans="1:7">
      <c r="A702" t="s">
        <v>16</v>
      </c>
      <c r="B702" t="s">
        <v>5574</v>
      </c>
      <c r="C702" t="s">
        <v>5575</v>
      </c>
      <c r="D702" t="s">
        <v>5579</v>
      </c>
      <c r="E702" t="s">
        <v>5580</v>
      </c>
      <c r="F702" t="s">
        <v>3562</v>
      </c>
      <c r="G702" t="s">
        <v>5581</v>
      </c>
    </row>
    <row r="703" customHeight="1" spans="1:7">
      <c r="A703" t="s">
        <v>16</v>
      </c>
      <c r="B703" t="s">
        <v>5574</v>
      </c>
      <c r="C703" t="s">
        <v>5575</v>
      </c>
      <c r="D703" t="s">
        <v>5582</v>
      </c>
      <c r="E703" t="s">
        <v>5583</v>
      </c>
      <c r="F703" t="s">
        <v>3562</v>
      </c>
      <c r="G703" t="s">
        <v>5584</v>
      </c>
    </row>
    <row r="704" customHeight="1" spans="1:7">
      <c r="A704" t="s">
        <v>16</v>
      </c>
      <c r="B704" t="s">
        <v>5574</v>
      </c>
      <c r="C704" t="s">
        <v>5575</v>
      </c>
      <c r="D704" t="s">
        <v>5585</v>
      </c>
      <c r="E704" t="s">
        <v>5586</v>
      </c>
      <c r="F704" t="s">
        <v>3562</v>
      </c>
      <c r="G704" t="s">
        <v>5587</v>
      </c>
    </row>
    <row r="705" customHeight="1" spans="1:7">
      <c r="A705" t="s">
        <v>16</v>
      </c>
      <c r="B705" t="s">
        <v>5574</v>
      </c>
      <c r="C705" t="s">
        <v>5575</v>
      </c>
      <c r="D705" t="s">
        <v>5588</v>
      </c>
      <c r="E705" t="s">
        <v>5589</v>
      </c>
      <c r="F705" t="s">
        <v>3562</v>
      </c>
      <c r="G705" t="s">
        <v>5590</v>
      </c>
    </row>
    <row r="706" customHeight="1" spans="1:7">
      <c r="A706" t="s">
        <v>16</v>
      </c>
      <c r="B706" t="s">
        <v>5574</v>
      </c>
      <c r="C706" t="s">
        <v>5575</v>
      </c>
      <c r="D706" t="s">
        <v>5591</v>
      </c>
      <c r="E706" t="s">
        <v>5592</v>
      </c>
      <c r="F706" t="s">
        <v>3562</v>
      </c>
      <c r="G706" t="s">
        <v>5593</v>
      </c>
    </row>
    <row r="707" customHeight="1" spans="1:7">
      <c r="A707" t="s">
        <v>16</v>
      </c>
      <c r="B707" t="s">
        <v>5574</v>
      </c>
      <c r="C707" t="s">
        <v>5575</v>
      </c>
      <c r="D707" t="s">
        <v>5594</v>
      </c>
      <c r="E707" t="s">
        <v>5595</v>
      </c>
      <c r="F707" t="s">
        <v>3562</v>
      </c>
      <c r="G707" t="s">
        <v>5596</v>
      </c>
    </row>
    <row r="708" customHeight="1" spans="1:7">
      <c r="A708" t="s">
        <v>16</v>
      </c>
      <c r="B708" t="s">
        <v>5574</v>
      </c>
      <c r="C708" t="s">
        <v>5575</v>
      </c>
      <c r="D708" t="s">
        <v>5597</v>
      </c>
      <c r="E708" t="s">
        <v>5598</v>
      </c>
      <c r="F708" t="s">
        <v>3562</v>
      </c>
      <c r="G708" t="s">
        <v>5599</v>
      </c>
    </row>
    <row r="709" customHeight="1" spans="1:7">
      <c r="A709" t="s">
        <v>16</v>
      </c>
      <c r="B709" t="s">
        <v>5574</v>
      </c>
      <c r="C709" t="s">
        <v>5575</v>
      </c>
      <c r="D709" t="s">
        <v>5600</v>
      </c>
      <c r="E709" t="s">
        <v>5601</v>
      </c>
      <c r="F709" t="s">
        <v>3567</v>
      </c>
      <c r="G709" t="s">
        <v>5602</v>
      </c>
    </row>
    <row r="710" customHeight="1" spans="1:7">
      <c r="A710" t="s">
        <v>16</v>
      </c>
      <c r="B710" t="s">
        <v>5574</v>
      </c>
      <c r="C710" t="s">
        <v>5575</v>
      </c>
      <c r="D710" t="s">
        <v>5603</v>
      </c>
      <c r="E710" t="s">
        <v>5604</v>
      </c>
      <c r="F710" t="s">
        <v>3562</v>
      </c>
      <c r="G710" t="s">
        <v>5605</v>
      </c>
    </row>
    <row r="711" customHeight="1" spans="1:7">
      <c r="A711" t="s">
        <v>16</v>
      </c>
      <c r="B711" t="s">
        <v>5574</v>
      </c>
      <c r="C711" t="s">
        <v>5575</v>
      </c>
      <c r="D711" t="s">
        <v>5606</v>
      </c>
      <c r="E711" t="s">
        <v>5607</v>
      </c>
      <c r="F711" t="s">
        <v>3562</v>
      </c>
      <c r="G711" t="s">
        <v>5608</v>
      </c>
    </row>
    <row r="712" customHeight="1" spans="1:7">
      <c r="A712" t="s">
        <v>16</v>
      </c>
      <c r="B712" t="s">
        <v>5574</v>
      </c>
      <c r="C712" t="s">
        <v>5575</v>
      </c>
      <c r="D712" t="s">
        <v>5609</v>
      </c>
      <c r="E712" t="s">
        <v>5610</v>
      </c>
      <c r="F712" t="s">
        <v>3562</v>
      </c>
      <c r="G712" t="s">
        <v>5611</v>
      </c>
    </row>
    <row r="713" customHeight="1" spans="1:7">
      <c r="A713" t="s">
        <v>16</v>
      </c>
      <c r="B713" t="s">
        <v>5574</v>
      </c>
      <c r="C713" t="s">
        <v>5575</v>
      </c>
      <c r="D713" t="s">
        <v>5612</v>
      </c>
      <c r="E713" t="s">
        <v>5613</v>
      </c>
      <c r="F713" t="s">
        <v>3562</v>
      </c>
      <c r="G713" t="s">
        <v>5614</v>
      </c>
    </row>
    <row r="714" customHeight="1" spans="1:7">
      <c r="A714" t="s">
        <v>16</v>
      </c>
      <c r="B714" t="s">
        <v>5574</v>
      </c>
      <c r="C714" t="s">
        <v>5575</v>
      </c>
      <c r="D714" t="s">
        <v>5615</v>
      </c>
      <c r="E714" t="s">
        <v>5616</v>
      </c>
      <c r="F714" t="s">
        <v>3562</v>
      </c>
      <c r="G714" t="s">
        <v>5617</v>
      </c>
    </row>
    <row r="715" customHeight="1" spans="1:7">
      <c r="A715" t="s">
        <v>16</v>
      </c>
      <c r="B715" t="s">
        <v>5574</v>
      </c>
      <c r="C715" t="s">
        <v>5575</v>
      </c>
      <c r="D715" t="s">
        <v>5618</v>
      </c>
      <c r="E715" t="s">
        <v>5619</v>
      </c>
      <c r="F715" t="s">
        <v>3562</v>
      </c>
      <c r="G715" t="s">
        <v>5620</v>
      </c>
    </row>
    <row r="716" customHeight="1" spans="1:7">
      <c r="A716" t="s">
        <v>16</v>
      </c>
      <c r="B716" t="s">
        <v>5574</v>
      </c>
      <c r="C716" t="s">
        <v>5575</v>
      </c>
      <c r="D716" t="s">
        <v>5621</v>
      </c>
      <c r="E716" t="s">
        <v>5622</v>
      </c>
      <c r="F716" t="s">
        <v>3562</v>
      </c>
      <c r="G716" t="s">
        <v>5623</v>
      </c>
    </row>
    <row r="717" customHeight="1" spans="1:7">
      <c r="A717" t="s">
        <v>16</v>
      </c>
      <c r="B717" t="s">
        <v>5574</v>
      </c>
      <c r="C717" t="s">
        <v>5575</v>
      </c>
      <c r="D717" t="s">
        <v>5624</v>
      </c>
      <c r="E717" t="s">
        <v>5625</v>
      </c>
      <c r="F717" t="s">
        <v>3562</v>
      </c>
      <c r="G717" t="s">
        <v>5626</v>
      </c>
    </row>
    <row r="718" customHeight="1" spans="1:7">
      <c r="A718" t="s">
        <v>16</v>
      </c>
      <c r="B718" t="s">
        <v>5574</v>
      </c>
      <c r="C718" t="s">
        <v>5575</v>
      </c>
      <c r="D718" t="s">
        <v>5574</v>
      </c>
      <c r="E718" t="s">
        <v>5575</v>
      </c>
      <c r="F718" t="s">
        <v>3559</v>
      </c>
      <c r="G718" t="s">
        <v>5627</v>
      </c>
    </row>
    <row r="719" customHeight="1" spans="1:7">
      <c r="A719" t="s">
        <v>16</v>
      </c>
      <c r="B719" t="s">
        <v>5574</v>
      </c>
      <c r="C719" t="s">
        <v>5575</v>
      </c>
      <c r="D719" t="s">
        <v>5628</v>
      </c>
      <c r="E719" t="s">
        <v>5629</v>
      </c>
      <c r="F719" t="s">
        <v>3562</v>
      </c>
      <c r="G719" t="s">
        <v>5630</v>
      </c>
    </row>
    <row r="720" customHeight="1" spans="1:7">
      <c r="A720" t="s">
        <v>16</v>
      </c>
      <c r="B720" t="s">
        <v>5574</v>
      </c>
      <c r="C720" t="s">
        <v>5575</v>
      </c>
      <c r="D720" t="s">
        <v>5631</v>
      </c>
      <c r="E720" t="s">
        <v>5632</v>
      </c>
      <c r="F720" t="s">
        <v>3562</v>
      </c>
      <c r="G720" t="s">
        <v>5633</v>
      </c>
    </row>
    <row r="721" customHeight="1" spans="1:7">
      <c r="A721" t="s">
        <v>16</v>
      </c>
      <c r="B721" t="s">
        <v>5574</v>
      </c>
      <c r="C721" t="s">
        <v>5575</v>
      </c>
      <c r="D721" t="s">
        <v>5634</v>
      </c>
      <c r="E721" t="s">
        <v>5635</v>
      </c>
      <c r="F721" t="s">
        <v>3562</v>
      </c>
      <c r="G721" t="s">
        <v>5636</v>
      </c>
    </row>
    <row r="722" customHeight="1" spans="1:7">
      <c r="A722" t="s">
        <v>16</v>
      </c>
      <c r="B722" t="s">
        <v>5574</v>
      </c>
      <c r="C722" t="s">
        <v>5575</v>
      </c>
      <c r="D722" t="s">
        <v>3913</v>
      </c>
      <c r="E722" t="s">
        <v>5637</v>
      </c>
      <c r="F722" t="s">
        <v>3562</v>
      </c>
      <c r="G722" t="s">
        <v>5638</v>
      </c>
    </row>
    <row r="723" customHeight="1" spans="1:7">
      <c r="A723" t="s">
        <v>16</v>
      </c>
      <c r="B723" t="s">
        <v>5574</v>
      </c>
      <c r="C723" t="s">
        <v>5575</v>
      </c>
      <c r="D723" t="s">
        <v>5639</v>
      </c>
      <c r="E723" t="s">
        <v>5640</v>
      </c>
      <c r="F723" t="s">
        <v>3562</v>
      </c>
      <c r="G723" t="s">
        <v>5641</v>
      </c>
    </row>
    <row r="724" customHeight="1" spans="1:7">
      <c r="A724" t="s">
        <v>16</v>
      </c>
      <c r="B724" t="s">
        <v>5574</v>
      </c>
      <c r="C724" t="s">
        <v>5575</v>
      </c>
      <c r="D724" t="s">
        <v>5642</v>
      </c>
      <c r="E724" t="s">
        <v>5643</v>
      </c>
      <c r="F724" t="s">
        <v>3562</v>
      </c>
      <c r="G724" t="s">
        <v>5644</v>
      </c>
    </row>
    <row r="725" customHeight="1" spans="1:7">
      <c r="A725" t="s">
        <v>16</v>
      </c>
      <c r="B725" t="s">
        <v>5574</v>
      </c>
      <c r="C725" t="s">
        <v>5575</v>
      </c>
      <c r="D725" t="s">
        <v>5645</v>
      </c>
      <c r="E725" t="s">
        <v>5646</v>
      </c>
      <c r="F725" t="s">
        <v>3562</v>
      </c>
      <c r="G725" t="s">
        <v>5647</v>
      </c>
    </row>
    <row r="726" customHeight="1" spans="1:7">
      <c r="A726" t="s">
        <v>16</v>
      </c>
      <c r="B726" t="s">
        <v>5574</v>
      </c>
      <c r="C726" t="s">
        <v>5575</v>
      </c>
      <c r="D726" t="s">
        <v>5648</v>
      </c>
      <c r="E726" t="s">
        <v>5649</v>
      </c>
      <c r="F726" t="s">
        <v>3562</v>
      </c>
      <c r="G726" t="s">
        <v>5650</v>
      </c>
    </row>
    <row r="727" customHeight="1" spans="1:7">
      <c r="A727" t="s">
        <v>16</v>
      </c>
      <c r="B727" t="s">
        <v>5574</v>
      </c>
      <c r="C727" t="s">
        <v>5575</v>
      </c>
      <c r="D727" t="s">
        <v>5651</v>
      </c>
      <c r="E727" t="s">
        <v>5652</v>
      </c>
      <c r="F727" t="s">
        <v>3562</v>
      </c>
      <c r="G727" t="s">
        <v>5653</v>
      </c>
    </row>
    <row r="728" customHeight="1" spans="1:7">
      <c r="A728" t="s">
        <v>16</v>
      </c>
      <c r="B728" t="s">
        <v>5574</v>
      </c>
      <c r="C728" t="s">
        <v>5575</v>
      </c>
      <c r="D728" t="s">
        <v>5654</v>
      </c>
      <c r="E728" t="s">
        <v>5655</v>
      </c>
      <c r="F728" t="s">
        <v>3562</v>
      </c>
      <c r="G728" t="s">
        <v>5656</v>
      </c>
    </row>
    <row r="729" customHeight="1" spans="1:7">
      <c r="A729" t="s">
        <v>16</v>
      </c>
      <c r="B729" t="s">
        <v>5657</v>
      </c>
      <c r="C729" t="s">
        <v>5658</v>
      </c>
      <c r="D729" t="s">
        <v>5659</v>
      </c>
      <c r="E729" t="s">
        <v>5660</v>
      </c>
      <c r="F729" t="s">
        <v>3562</v>
      </c>
      <c r="G729" t="s">
        <v>5661</v>
      </c>
    </row>
    <row r="730" customHeight="1" spans="1:7">
      <c r="A730" t="s">
        <v>16</v>
      </c>
      <c r="B730" t="s">
        <v>5657</v>
      </c>
      <c r="C730" t="s">
        <v>5658</v>
      </c>
      <c r="D730" t="s">
        <v>5662</v>
      </c>
      <c r="E730" t="s">
        <v>5663</v>
      </c>
      <c r="F730" t="s">
        <v>3562</v>
      </c>
      <c r="G730" t="s">
        <v>5664</v>
      </c>
    </row>
    <row r="731" customHeight="1" spans="1:7">
      <c r="A731" t="s">
        <v>16</v>
      </c>
      <c r="B731" t="s">
        <v>5657</v>
      </c>
      <c r="C731" t="s">
        <v>5658</v>
      </c>
      <c r="D731" t="s">
        <v>5665</v>
      </c>
      <c r="E731" t="s">
        <v>5666</v>
      </c>
      <c r="F731" t="s">
        <v>3562</v>
      </c>
      <c r="G731" t="s">
        <v>5667</v>
      </c>
    </row>
    <row r="732" customHeight="1" spans="1:7">
      <c r="A732" t="s">
        <v>16</v>
      </c>
      <c r="B732" t="s">
        <v>5657</v>
      </c>
      <c r="C732" t="s">
        <v>5658</v>
      </c>
      <c r="D732" t="s">
        <v>5668</v>
      </c>
      <c r="E732" t="s">
        <v>5669</v>
      </c>
      <c r="F732" t="s">
        <v>3562</v>
      </c>
      <c r="G732" t="s">
        <v>5670</v>
      </c>
    </row>
    <row r="733" customHeight="1" spans="1:7">
      <c r="A733" t="s">
        <v>16</v>
      </c>
      <c r="B733" t="s">
        <v>5657</v>
      </c>
      <c r="C733" t="s">
        <v>5658</v>
      </c>
      <c r="D733" t="s">
        <v>5671</v>
      </c>
      <c r="E733" t="s">
        <v>5672</v>
      </c>
      <c r="F733" t="s">
        <v>3562</v>
      </c>
      <c r="G733" t="s">
        <v>5673</v>
      </c>
    </row>
    <row r="734" customHeight="1" spans="1:7">
      <c r="A734" t="s">
        <v>16</v>
      </c>
      <c r="B734" t="s">
        <v>5657</v>
      </c>
      <c r="C734" t="s">
        <v>5658</v>
      </c>
      <c r="D734" t="s">
        <v>5674</v>
      </c>
      <c r="E734" t="s">
        <v>5675</v>
      </c>
      <c r="F734" t="s">
        <v>3562</v>
      </c>
      <c r="G734" t="s">
        <v>5676</v>
      </c>
    </row>
    <row r="735" customHeight="1" spans="1:7">
      <c r="A735" t="s">
        <v>16</v>
      </c>
      <c r="B735" t="s">
        <v>5657</v>
      </c>
      <c r="C735" t="s">
        <v>5658</v>
      </c>
      <c r="D735" t="s">
        <v>5677</v>
      </c>
      <c r="E735" t="s">
        <v>5678</v>
      </c>
      <c r="F735" t="s">
        <v>3562</v>
      </c>
      <c r="G735" t="s">
        <v>5679</v>
      </c>
    </row>
    <row r="736" customHeight="1" spans="1:7">
      <c r="A736" t="s">
        <v>16</v>
      </c>
      <c r="B736" t="s">
        <v>5657</v>
      </c>
      <c r="C736" t="s">
        <v>5658</v>
      </c>
      <c r="D736" t="s">
        <v>5680</v>
      </c>
      <c r="E736" t="s">
        <v>5681</v>
      </c>
      <c r="F736" t="s">
        <v>3562</v>
      </c>
      <c r="G736" t="s">
        <v>5682</v>
      </c>
    </row>
    <row r="737" customHeight="1" spans="1:7">
      <c r="A737" t="s">
        <v>16</v>
      </c>
      <c r="B737" t="s">
        <v>5657</v>
      </c>
      <c r="C737" t="s">
        <v>5658</v>
      </c>
      <c r="D737" t="s">
        <v>5683</v>
      </c>
      <c r="E737" t="s">
        <v>5684</v>
      </c>
      <c r="F737" t="s">
        <v>3562</v>
      </c>
      <c r="G737" t="s">
        <v>5685</v>
      </c>
    </row>
    <row r="738" customHeight="1" spans="1:7">
      <c r="A738" t="s">
        <v>16</v>
      </c>
      <c r="B738" t="s">
        <v>5657</v>
      </c>
      <c r="C738" t="s">
        <v>5658</v>
      </c>
      <c r="D738" t="s">
        <v>5686</v>
      </c>
      <c r="E738" t="s">
        <v>5687</v>
      </c>
      <c r="F738" t="s">
        <v>3562</v>
      </c>
      <c r="G738" t="s">
        <v>5688</v>
      </c>
    </row>
    <row r="739" customHeight="1" spans="1:7">
      <c r="A739" t="s">
        <v>16</v>
      </c>
      <c r="B739" t="s">
        <v>5657</v>
      </c>
      <c r="C739" t="s">
        <v>5658</v>
      </c>
      <c r="D739" t="s">
        <v>5689</v>
      </c>
      <c r="E739" t="s">
        <v>5690</v>
      </c>
      <c r="F739" t="s">
        <v>3562</v>
      </c>
      <c r="G739" t="s">
        <v>5691</v>
      </c>
    </row>
    <row r="740" customHeight="1" spans="1:7">
      <c r="A740" t="s">
        <v>16</v>
      </c>
      <c r="B740" t="s">
        <v>5657</v>
      </c>
      <c r="C740" t="s">
        <v>5658</v>
      </c>
      <c r="D740" t="s">
        <v>4891</v>
      </c>
      <c r="E740" t="s">
        <v>5692</v>
      </c>
      <c r="F740" t="s">
        <v>3562</v>
      </c>
      <c r="G740" t="s">
        <v>5693</v>
      </c>
    </row>
    <row r="741" customHeight="1" spans="1:7">
      <c r="A741" t="s">
        <v>16</v>
      </c>
      <c r="B741" t="s">
        <v>5657</v>
      </c>
      <c r="C741" t="s">
        <v>5658</v>
      </c>
      <c r="D741" t="s">
        <v>5694</v>
      </c>
      <c r="E741" t="s">
        <v>5695</v>
      </c>
      <c r="F741" t="s">
        <v>3562</v>
      </c>
      <c r="G741" t="s">
        <v>5696</v>
      </c>
    </row>
    <row r="742" customHeight="1" spans="1:7">
      <c r="A742" t="s">
        <v>16</v>
      </c>
      <c r="B742" t="s">
        <v>5657</v>
      </c>
      <c r="C742" t="s">
        <v>5658</v>
      </c>
      <c r="D742" t="s">
        <v>5697</v>
      </c>
      <c r="E742" t="s">
        <v>5698</v>
      </c>
      <c r="F742" t="s">
        <v>3562</v>
      </c>
      <c r="G742" t="s">
        <v>5699</v>
      </c>
    </row>
    <row r="743" customHeight="1" spans="1:7">
      <c r="A743" t="s">
        <v>16</v>
      </c>
      <c r="B743" t="s">
        <v>5657</v>
      </c>
      <c r="C743" t="s">
        <v>5658</v>
      </c>
      <c r="D743" t="s">
        <v>5657</v>
      </c>
      <c r="E743" t="s">
        <v>5658</v>
      </c>
      <c r="F743" t="s">
        <v>3559</v>
      </c>
      <c r="G743" t="s">
        <v>5700</v>
      </c>
    </row>
    <row r="744" customHeight="1" spans="1:7">
      <c r="A744" t="s">
        <v>16</v>
      </c>
      <c r="B744" t="s">
        <v>5657</v>
      </c>
      <c r="C744" t="s">
        <v>5658</v>
      </c>
      <c r="D744" t="s">
        <v>5701</v>
      </c>
      <c r="E744" t="s">
        <v>5702</v>
      </c>
      <c r="F744" t="s">
        <v>3562</v>
      </c>
      <c r="G744" t="s">
        <v>5703</v>
      </c>
    </row>
    <row r="745" customHeight="1" spans="1:7">
      <c r="A745" t="s">
        <v>16</v>
      </c>
      <c r="B745" t="s">
        <v>5657</v>
      </c>
      <c r="C745" t="s">
        <v>5658</v>
      </c>
      <c r="D745" t="s">
        <v>5704</v>
      </c>
      <c r="E745" t="s">
        <v>5705</v>
      </c>
      <c r="F745" t="s">
        <v>3562</v>
      </c>
      <c r="G745" t="s">
        <v>5706</v>
      </c>
    </row>
    <row r="746" customHeight="1" spans="1:7">
      <c r="A746" t="s">
        <v>16</v>
      </c>
      <c r="B746" t="s">
        <v>5657</v>
      </c>
      <c r="C746" t="s">
        <v>5658</v>
      </c>
      <c r="D746" t="s">
        <v>5707</v>
      </c>
      <c r="E746" t="s">
        <v>5708</v>
      </c>
      <c r="F746" t="s">
        <v>3562</v>
      </c>
      <c r="G746" t="s">
        <v>5709</v>
      </c>
    </row>
    <row r="747" customHeight="1" spans="1:7">
      <c r="A747" t="s">
        <v>16</v>
      </c>
      <c r="B747" t="s">
        <v>5657</v>
      </c>
      <c r="C747" t="s">
        <v>5658</v>
      </c>
      <c r="D747" t="s">
        <v>5710</v>
      </c>
      <c r="E747" t="s">
        <v>5711</v>
      </c>
      <c r="F747" t="s">
        <v>3562</v>
      </c>
      <c r="G747" t="s">
        <v>5712</v>
      </c>
    </row>
    <row r="748" customHeight="1" spans="1:7">
      <c r="A748" t="s">
        <v>16</v>
      </c>
      <c r="B748" t="s">
        <v>5657</v>
      </c>
      <c r="C748" t="s">
        <v>5658</v>
      </c>
      <c r="D748" t="s">
        <v>5713</v>
      </c>
      <c r="E748" t="s">
        <v>5714</v>
      </c>
      <c r="F748" t="s">
        <v>3562</v>
      </c>
      <c r="G748" t="s">
        <v>5715</v>
      </c>
    </row>
    <row r="749" customHeight="1" spans="1:7">
      <c r="A749" t="s">
        <v>16</v>
      </c>
      <c r="B749" t="s">
        <v>5657</v>
      </c>
      <c r="C749" t="s">
        <v>5658</v>
      </c>
      <c r="D749" t="s">
        <v>5716</v>
      </c>
      <c r="E749" t="s">
        <v>5717</v>
      </c>
      <c r="F749" t="s">
        <v>3562</v>
      </c>
      <c r="G749" t="s">
        <v>5718</v>
      </c>
    </row>
    <row r="750" customHeight="1" spans="1:7">
      <c r="A750" t="s">
        <v>16</v>
      </c>
      <c r="B750" t="s">
        <v>5657</v>
      </c>
      <c r="C750" t="s">
        <v>5658</v>
      </c>
      <c r="D750" t="s">
        <v>5719</v>
      </c>
      <c r="E750" t="s">
        <v>5720</v>
      </c>
      <c r="F750" t="s">
        <v>3562</v>
      </c>
      <c r="G750" t="s">
        <v>5721</v>
      </c>
    </row>
    <row r="751" customHeight="1" spans="1:7">
      <c r="A751" t="s">
        <v>16</v>
      </c>
      <c r="B751" t="s">
        <v>5722</v>
      </c>
      <c r="C751" t="s">
        <v>5723</v>
      </c>
      <c r="D751" t="s">
        <v>5724</v>
      </c>
      <c r="E751" t="s">
        <v>5725</v>
      </c>
      <c r="F751" t="s">
        <v>3562</v>
      </c>
      <c r="G751" t="s">
        <v>5726</v>
      </c>
    </row>
    <row r="752" customHeight="1" spans="1:7">
      <c r="A752" t="s">
        <v>16</v>
      </c>
      <c r="B752" t="s">
        <v>5722</v>
      </c>
      <c r="C752" t="s">
        <v>5723</v>
      </c>
      <c r="D752" t="s">
        <v>5727</v>
      </c>
      <c r="E752" t="s">
        <v>5728</v>
      </c>
      <c r="F752" t="s">
        <v>3562</v>
      </c>
      <c r="G752" t="s">
        <v>5729</v>
      </c>
    </row>
    <row r="753" customHeight="1" spans="1:7">
      <c r="A753" t="s">
        <v>16</v>
      </c>
      <c r="B753" t="s">
        <v>5722</v>
      </c>
      <c r="C753" t="s">
        <v>5723</v>
      </c>
      <c r="D753" t="s">
        <v>5730</v>
      </c>
      <c r="E753" t="s">
        <v>5731</v>
      </c>
      <c r="F753" t="s">
        <v>3562</v>
      </c>
      <c r="G753" t="s">
        <v>5732</v>
      </c>
    </row>
    <row r="754" customHeight="1" spans="1:7">
      <c r="A754" t="s">
        <v>16</v>
      </c>
      <c r="B754" t="s">
        <v>5722</v>
      </c>
      <c r="C754" t="s">
        <v>5723</v>
      </c>
      <c r="D754" t="s">
        <v>5733</v>
      </c>
      <c r="E754" t="s">
        <v>5734</v>
      </c>
      <c r="F754" t="s">
        <v>3562</v>
      </c>
      <c r="G754" t="s">
        <v>5735</v>
      </c>
    </row>
    <row r="755" customHeight="1" spans="1:7">
      <c r="A755" t="s">
        <v>16</v>
      </c>
      <c r="B755" t="s">
        <v>5722</v>
      </c>
      <c r="C755" t="s">
        <v>5723</v>
      </c>
      <c r="D755" t="s">
        <v>5736</v>
      </c>
      <c r="E755" t="s">
        <v>5737</v>
      </c>
      <c r="F755" t="s">
        <v>3562</v>
      </c>
      <c r="G755" t="s">
        <v>5738</v>
      </c>
    </row>
    <row r="756" customHeight="1" spans="1:7">
      <c r="A756" t="s">
        <v>16</v>
      </c>
      <c r="B756" t="s">
        <v>5722</v>
      </c>
      <c r="C756" t="s">
        <v>5723</v>
      </c>
      <c r="D756" t="s">
        <v>5739</v>
      </c>
      <c r="E756" t="s">
        <v>5740</v>
      </c>
      <c r="F756" t="s">
        <v>3562</v>
      </c>
      <c r="G756" t="s">
        <v>5741</v>
      </c>
    </row>
    <row r="757" customHeight="1" spans="1:7">
      <c r="A757" t="s">
        <v>16</v>
      </c>
      <c r="B757" t="s">
        <v>5722</v>
      </c>
      <c r="C757" t="s">
        <v>5723</v>
      </c>
      <c r="D757" t="s">
        <v>5742</v>
      </c>
      <c r="E757" t="s">
        <v>5743</v>
      </c>
      <c r="F757" t="s">
        <v>3562</v>
      </c>
      <c r="G757" t="s">
        <v>5744</v>
      </c>
    </row>
    <row r="758" customHeight="1" spans="1:7">
      <c r="A758" t="s">
        <v>16</v>
      </c>
      <c r="B758" t="s">
        <v>5722</v>
      </c>
      <c r="C758" t="s">
        <v>5723</v>
      </c>
      <c r="D758" t="s">
        <v>5745</v>
      </c>
      <c r="E758" t="s">
        <v>5746</v>
      </c>
      <c r="F758" t="s">
        <v>3562</v>
      </c>
      <c r="G758" t="s">
        <v>5747</v>
      </c>
    </row>
    <row r="759" customHeight="1" spans="1:7">
      <c r="A759" t="s">
        <v>16</v>
      </c>
      <c r="B759" t="s">
        <v>5722</v>
      </c>
      <c r="C759" t="s">
        <v>5723</v>
      </c>
      <c r="D759" t="s">
        <v>5748</v>
      </c>
      <c r="E759" t="s">
        <v>5749</v>
      </c>
      <c r="F759" t="s">
        <v>3562</v>
      </c>
      <c r="G759" t="s">
        <v>5750</v>
      </c>
    </row>
    <row r="760" customHeight="1" spans="1:7">
      <c r="A760" t="s">
        <v>16</v>
      </c>
      <c r="B760" t="s">
        <v>5722</v>
      </c>
      <c r="C760" t="s">
        <v>5723</v>
      </c>
      <c r="D760" t="s">
        <v>5751</v>
      </c>
      <c r="E760" t="s">
        <v>5752</v>
      </c>
      <c r="F760" t="s">
        <v>3562</v>
      </c>
      <c r="G760" t="s">
        <v>5753</v>
      </c>
    </row>
    <row r="761" customHeight="1" spans="1:7">
      <c r="A761" t="s">
        <v>16</v>
      </c>
      <c r="B761" t="s">
        <v>5722</v>
      </c>
      <c r="C761" t="s">
        <v>5723</v>
      </c>
      <c r="D761" t="s">
        <v>5754</v>
      </c>
      <c r="E761" t="s">
        <v>5755</v>
      </c>
      <c r="F761" t="s">
        <v>3562</v>
      </c>
      <c r="G761" t="s">
        <v>5756</v>
      </c>
    </row>
    <row r="762" customHeight="1" spans="1:7">
      <c r="A762" t="s">
        <v>16</v>
      </c>
      <c r="B762" t="s">
        <v>5722</v>
      </c>
      <c r="C762" t="s">
        <v>5723</v>
      </c>
      <c r="D762" t="s">
        <v>5757</v>
      </c>
      <c r="E762" t="s">
        <v>5758</v>
      </c>
      <c r="F762" t="s">
        <v>3562</v>
      </c>
      <c r="G762" t="s">
        <v>5759</v>
      </c>
    </row>
    <row r="763" customHeight="1" spans="1:7">
      <c r="A763" t="s">
        <v>16</v>
      </c>
      <c r="B763" t="s">
        <v>5722</v>
      </c>
      <c r="C763" t="s">
        <v>5723</v>
      </c>
      <c r="D763" t="s">
        <v>5760</v>
      </c>
      <c r="E763" t="s">
        <v>5761</v>
      </c>
      <c r="F763" t="s">
        <v>3562</v>
      </c>
      <c r="G763" t="s">
        <v>5762</v>
      </c>
    </row>
    <row r="764" customHeight="1" spans="1:7">
      <c r="A764" t="s">
        <v>16</v>
      </c>
      <c r="B764" t="s">
        <v>5722</v>
      </c>
      <c r="C764" t="s">
        <v>5723</v>
      </c>
      <c r="D764" t="s">
        <v>5763</v>
      </c>
      <c r="E764" t="s">
        <v>5764</v>
      </c>
      <c r="F764" t="s">
        <v>3562</v>
      </c>
      <c r="G764" t="s">
        <v>5765</v>
      </c>
    </row>
    <row r="765" customHeight="1" spans="1:7">
      <c r="A765" t="s">
        <v>16</v>
      </c>
      <c r="B765" t="s">
        <v>5722</v>
      </c>
      <c r="C765" t="s">
        <v>5723</v>
      </c>
      <c r="D765" t="s">
        <v>5766</v>
      </c>
      <c r="E765" t="s">
        <v>5767</v>
      </c>
      <c r="F765" t="s">
        <v>3562</v>
      </c>
      <c r="G765" t="s">
        <v>5768</v>
      </c>
    </row>
    <row r="766" customHeight="1" spans="1:7">
      <c r="A766" t="s">
        <v>16</v>
      </c>
      <c r="B766" t="s">
        <v>5722</v>
      </c>
      <c r="C766" t="s">
        <v>5723</v>
      </c>
      <c r="D766" t="s">
        <v>5769</v>
      </c>
      <c r="E766" t="s">
        <v>5770</v>
      </c>
      <c r="F766" t="s">
        <v>3562</v>
      </c>
      <c r="G766" t="s">
        <v>5771</v>
      </c>
    </row>
    <row r="767" customHeight="1" spans="1:7">
      <c r="A767" t="s">
        <v>16</v>
      </c>
      <c r="B767" t="s">
        <v>5722</v>
      </c>
      <c r="C767" t="s">
        <v>5723</v>
      </c>
      <c r="D767" t="s">
        <v>5772</v>
      </c>
      <c r="E767" t="s">
        <v>5773</v>
      </c>
      <c r="F767" t="s">
        <v>3562</v>
      </c>
      <c r="G767" t="s">
        <v>5774</v>
      </c>
    </row>
    <row r="768" customHeight="1" spans="1:7">
      <c r="A768" t="s">
        <v>16</v>
      </c>
      <c r="B768" t="s">
        <v>5722</v>
      </c>
      <c r="C768" t="s">
        <v>5723</v>
      </c>
      <c r="D768" t="s">
        <v>5775</v>
      </c>
      <c r="E768" t="s">
        <v>5776</v>
      </c>
      <c r="F768" t="s">
        <v>3562</v>
      </c>
      <c r="G768" t="s">
        <v>5777</v>
      </c>
    </row>
    <row r="769" customHeight="1" spans="1:7">
      <c r="A769" t="s">
        <v>16</v>
      </c>
      <c r="B769" t="s">
        <v>5722</v>
      </c>
      <c r="C769" t="s">
        <v>5723</v>
      </c>
      <c r="D769" t="s">
        <v>5778</v>
      </c>
      <c r="E769" t="s">
        <v>5779</v>
      </c>
      <c r="F769" t="s">
        <v>3562</v>
      </c>
      <c r="G769" t="s">
        <v>5780</v>
      </c>
    </row>
    <row r="770" customHeight="1" spans="1:7">
      <c r="A770" t="s">
        <v>16</v>
      </c>
      <c r="B770" t="s">
        <v>5722</v>
      </c>
      <c r="C770" t="s">
        <v>5723</v>
      </c>
      <c r="D770" t="s">
        <v>5722</v>
      </c>
      <c r="E770" t="s">
        <v>5723</v>
      </c>
      <c r="F770" t="s">
        <v>3559</v>
      </c>
      <c r="G770" t="s">
        <v>5781</v>
      </c>
    </row>
    <row r="771" customHeight="1" spans="1:7">
      <c r="A771" t="s">
        <v>16</v>
      </c>
      <c r="B771" t="s">
        <v>5722</v>
      </c>
      <c r="C771" t="s">
        <v>5723</v>
      </c>
      <c r="D771" t="s">
        <v>5782</v>
      </c>
      <c r="E771" t="s">
        <v>5783</v>
      </c>
      <c r="F771" t="s">
        <v>3562</v>
      </c>
      <c r="G771" t="s">
        <v>5784</v>
      </c>
    </row>
    <row r="772" customHeight="1" spans="1:7">
      <c r="A772" t="s">
        <v>16</v>
      </c>
      <c r="B772" t="s">
        <v>5722</v>
      </c>
      <c r="C772" t="s">
        <v>5723</v>
      </c>
      <c r="D772" t="s">
        <v>5785</v>
      </c>
      <c r="E772" t="s">
        <v>5786</v>
      </c>
      <c r="F772" t="s">
        <v>3562</v>
      </c>
      <c r="G772" t="s">
        <v>5787</v>
      </c>
    </row>
    <row r="773" customHeight="1" spans="1:7">
      <c r="A773" t="s">
        <v>16</v>
      </c>
      <c r="B773" t="s">
        <v>5722</v>
      </c>
      <c r="C773" t="s">
        <v>5723</v>
      </c>
      <c r="D773" t="s">
        <v>5788</v>
      </c>
      <c r="E773" t="s">
        <v>5789</v>
      </c>
      <c r="F773" t="s">
        <v>3562</v>
      </c>
      <c r="G773" t="s">
        <v>5790</v>
      </c>
    </row>
    <row r="774" customHeight="1" spans="1:7">
      <c r="A774" t="s">
        <v>16</v>
      </c>
      <c r="B774" t="s">
        <v>5722</v>
      </c>
      <c r="C774" t="s">
        <v>5723</v>
      </c>
      <c r="D774" t="s">
        <v>5791</v>
      </c>
      <c r="E774" t="s">
        <v>5792</v>
      </c>
      <c r="F774" t="s">
        <v>3562</v>
      </c>
      <c r="G774" t="s">
        <v>5793</v>
      </c>
    </row>
    <row r="775" customHeight="1" spans="1:7">
      <c r="A775" t="s">
        <v>16</v>
      </c>
      <c r="B775" t="s">
        <v>5722</v>
      </c>
      <c r="C775" t="s">
        <v>5723</v>
      </c>
      <c r="D775" t="s">
        <v>5794</v>
      </c>
      <c r="E775" t="s">
        <v>5795</v>
      </c>
      <c r="F775" t="s">
        <v>3562</v>
      </c>
      <c r="G775" t="s">
        <v>5796</v>
      </c>
    </row>
    <row r="776" customHeight="1" spans="1:7">
      <c r="A776" t="s">
        <v>16</v>
      </c>
      <c r="B776" t="s">
        <v>5722</v>
      </c>
      <c r="C776" t="s">
        <v>5723</v>
      </c>
      <c r="D776" t="s">
        <v>5797</v>
      </c>
      <c r="E776" t="s">
        <v>5798</v>
      </c>
      <c r="F776" t="s">
        <v>3562</v>
      </c>
      <c r="G776" t="s">
        <v>5799</v>
      </c>
    </row>
    <row r="777" customHeight="1" spans="1:7">
      <c r="A777" t="s">
        <v>16</v>
      </c>
      <c r="B777" t="s">
        <v>5722</v>
      </c>
      <c r="C777" t="s">
        <v>5723</v>
      </c>
      <c r="D777" t="s">
        <v>5800</v>
      </c>
      <c r="E777" t="s">
        <v>5801</v>
      </c>
      <c r="F777" t="s">
        <v>3562</v>
      </c>
      <c r="G777" t="s">
        <v>5802</v>
      </c>
    </row>
    <row r="778" customHeight="1" spans="1:7">
      <c r="A778" t="s">
        <v>16</v>
      </c>
      <c r="B778" t="s">
        <v>5722</v>
      </c>
      <c r="C778" t="s">
        <v>5723</v>
      </c>
      <c r="D778" t="s">
        <v>5803</v>
      </c>
      <c r="E778" t="s">
        <v>5804</v>
      </c>
      <c r="F778" t="s">
        <v>3664</v>
      </c>
      <c r="G778" t="s">
        <v>5805</v>
      </c>
    </row>
    <row r="779" customHeight="1" spans="1:7">
      <c r="A779" t="s">
        <v>16</v>
      </c>
      <c r="B779" t="s">
        <v>5806</v>
      </c>
      <c r="C779" t="s">
        <v>5807</v>
      </c>
      <c r="D779" t="s">
        <v>5808</v>
      </c>
      <c r="E779" t="s">
        <v>5809</v>
      </c>
      <c r="F779" t="s">
        <v>3562</v>
      </c>
      <c r="G779" t="s">
        <v>5810</v>
      </c>
    </row>
    <row r="780" customHeight="1" spans="1:7">
      <c r="A780" t="s">
        <v>16</v>
      </c>
      <c r="B780" t="s">
        <v>5806</v>
      </c>
      <c r="C780" t="s">
        <v>5807</v>
      </c>
      <c r="D780" t="s">
        <v>5811</v>
      </c>
      <c r="E780" t="s">
        <v>5812</v>
      </c>
      <c r="F780" t="s">
        <v>3562</v>
      </c>
      <c r="G780" t="s">
        <v>5813</v>
      </c>
    </row>
    <row r="781" customHeight="1" spans="1:7">
      <c r="A781" t="s">
        <v>16</v>
      </c>
      <c r="B781" t="s">
        <v>5806</v>
      </c>
      <c r="C781" t="s">
        <v>5807</v>
      </c>
      <c r="D781" t="s">
        <v>5814</v>
      </c>
      <c r="E781" t="s">
        <v>5815</v>
      </c>
      <c r="F781" t="s">
        <v>3562</v>
      </c>
      <c r="G781" t="s">
        <v>5816</v>
      </c>
    </row>
    <row r="782" customHeight="1" spans="1:7">
      <c r="A782" t="s">
        <v>16</v>
      </c>
      <c r="B782" t="s">
        <v>5806</v>
      </c>
      <c r="C782" t="s">
        <v>5807</v>
      </c>
      <c r="D782" t="s">
        <v>5817</v>
      </c>
      <c r="E782" t="s">
        <v>5818</v>
      </c>
      <c r="F782" t="s">
        <v>3562</v>
      </c>
      <c r="G782" t="s">
        <v>5819</v>
      </c>
    </row>
    <row r="783" customHeight="1" spans="1:7">
      <c r="A783" t="s">
        <v>16</v>
      </c>
      <c r="B783" t="s">
        <v>5806</v>
      </c>
      <c r="C783" t="s">
        <v>5807</v>
      </c>
      <c r="D783" t="s">
        <v>5820</v>
      </c>
      <c r="E783" t="s">
        <v>5821</v>
      </c>
      <c r="F783" t="s">
        <v>3562</v>
      </c>
      <c r="G783" t="s">
        <v>5822</v>
      </c>
    </row>
    <row r="784" customHeight="1" spans="1:7">
      <c r="A784" t="s">
        <v>16</v>
      </c>
      <c r="B784" t="s">
        <v>5806</v>
      </c>
      <c r="C784" t="s">
        <v>5807</v>
      </c>
      <c r="D784" t="s">
        <v>5823</v>
      </c>
      <c r="E784" t="s">
        <v>5824</v>
      </c>
      <c r="F784" t="s">
        <v>3562</v>
      </c>
      <c r="G784" t="s">
        <v>5825</v>
      </c>
    </row>
    <row r="785" customHeight="1" spans="1:7">
      <c r="A785" t="s">
        <v>16</v>
      </c>
      <c r="B785" t="s">
        <v>5806</v>
      </c>
      <c r="C785" t="s">
        <v>5807</v>
      </c>
      <c r="D785" t="s">
        <v>5826</v>
      </c>
      <c r="E785" t="s">
        <v>5827</v>
      </c>
      <c r="F785" t="s">
        <v>3562</v>
      </c>
      <c r="G785" t="s">
        <v>5828</v>
      </c>
    </row>
    <row r="786" customHeight="1" spans="1:7">
      <c r="A786" t="s">
        <v>16</v>
      </c>
      <c r="B786" t="s">
        <v>5806</v>
      </c>
      <c r="C786" t="s">
        <v>5807</v>
      </c>
      <c r="D786" t="s">
        <v>5829</v>
      </c>
      <c r="E786" t="s">
        <v>5830</v>
      </c>
      <c r="F786" t="s">
        <v>3562</v>
      </c>
      <c r="G786" t="s">
        <v>5831</v>
      </c>
    </row>
    <row r="787" customHeight="1" spans="1:7">
      <c r="A787" t="s">
        <v>16</v>
      </c>
      <c r="B787" t="s">
        <v>5806</v>
      </c>
      <c r="C787" t="s">
        <v>5807</v>
      </c>
      <c r="D787" t="s">
        <v>5832</v>
      </c>
      <c r="E787" t="s">
        <v>5833</v>
      </c>
      <c r="F787" t="s">
        <v>3562</v>
      </c>
      <c r="G787" t="s">
        <v>5834</v>
      </c>
    </row>
    <row r="788" customHeight="1" spans="1:7">
      <c r="A788" t="s">
        <v>16</v>
      </c>
      <c r="B788" t="s">
        <v>5806</v>
      </c>
      <c r="C788" t="s">
        <v>5807</v>
      </c>
      <c r="D788" t="s">
        <v>5835</v>
      </c>
      <c r="E788" t="s">
        <v>5836</v>
      </c>
      <c r="F788" t="s">
        <v>3562</v>
      </c>
      <c r="G788" t="s">
        <v>5837</v>
      </c>
    </row>
    <row r="789" customHeight="1" spans="1:7">
      <c r="A789" t="s">
        <v>16</v>
      </c>
      <c r="B789" t="s">
        <v>5806</v>
      </c>
      <c r="C789" t="s">
        <v>5807</v>
      </c>
      <c r="D789" t="s">
        <v>5838</v>
      </c>
      <c r="E789" t="s">
        <v>5839</v>
      </c>
      <c r="F789" t="s">
        <v>3562</v>
      </c>
      <c r="G789" t="s">
        <v>5840</v>
      </c>
    </row>
    <row r="790" customHeight="1" spans="1:7">
      <c r="A790" t="s">
        <v>16</v>
      </c>
      <c r="B790" t="s">
        <v>5806</v>
      </c>
      <c r="C790" t="s">
        <v>5807</v>
      </c>
      <c r="D790" t="s">
        <v>5841</v>
      </c>
      <c r="E790" t="s">
        <v>5842</v>
      </c>
      <c r="F790" t="s">
        <v>3562</v>
      </c>
      <c r="G790" t="s">
        <v>5843</v>
      </c>
    </row>
    <row r="791" customHeight="1" spans="1:7">
      <c r="A791" t="s">
        <v>16</v>
      </c>
      <c r="B791" t="s">
        <v>5806</v>
      </c>
      <c r="C791" t="s">
        <v>5807</v>
      </c>
      <c r="D791" t="s">
        <v>5844</v>
      </c>
      <c r="E791" t="s">
        <v>5845</v>
      </c>
      <c r="F791" t="s">
        <v>3562</v>
      </c>
      <c r="G791" t="s">
        <v>5846</v>
      </c>
    </row>
    <row r="792" customHeight="1" spans="1:7">
      <c r="A792" t="s">
        <v>16</v>
      </c>
      <c r="B792" t="s">
        <v>5806</v>
      </c>
      <c r="C792" t="s">
        <v>5807</v>
      </c>
      <c r="D792" t="s">
        <v>5806</v>
      </c>
      <c r="E792" t="s">
        <v>5807</v>
      </c>
      <c r="F792" t="s">
        <v>3559</v>
      </c>
      <c r="G792" t="s">
        <v>5847</v>
      </c>
    </row>
    <row r="793" customHeight="1" spans="1:7">
      <c r="A793" t="s">
        <v>16</v>
      </c>
      <c r="B793" t="s">
        <v>5806</v>
      </c>
      <c r="C793" t="s">
        <v>5807</v>
      </c>
      <c r="D793" t="s">
        <v>5848</v>
      </c>
      <c r="E793" t="s">
        <v>5849</v>
      </c>
      <c r="F793" t="s">
        <v>3562</v>
      </c>
      <c r="G793" t="s">
        <v>5850</v>
      </c>
    </row>
    <row r="794" customHeight="1" spans="1:7">
      <c r="A794" t="s">
        <v>16</v>
      </c>
      <c r="B794" t="s">
        <v>5806</v>
      </c>
      <c r="C794" t="s">
        <v>5807</v>
      </c>
      <c r="D794" t="s">
        <v>5851</v>
      </c>
      <c r="E794" t="s">
        <v>5852</v>
      </c>
      <c r="F794" t="s">
        <v>3562</v>
      </c>
      <c r="G794" t="s">
        <v>5853</v>
      </c>
    </row>
    <row r="795" customHeight="1" spans="1:7">
      <c r="A795" t="s">
        <v>16</v>
      </c>
      <c r="B795" t="s">
        <v>5806</v>
      </c>
      <c r="C795" t="s">
        <v>5807</v>
      </c>
      <c r="D795" t="s">
        <v>5854</v>
      </c>
      <c r="E795" t="s">
        <v>5855</v>
      </c>
      <c r="F795" t="s">
        <v>3562</v>
      </c>
      <c r="G795" t="s">
        <v>5856</v>
      </c>
    </row>
    <row r="796" customHeight="1" spans="1:7">
      <c r="A796" t="s">
        <v>16</v>
      </c>
      <c r="B796" t="s">
        <v>5806</v>
      </c>
      <c r="C796" t="s">
        <v>5807</v>
      </c>
      <c r="D796" t="s">
        <v>5857</v>
      </c>
      <c r="E796" t="s">
        <v>5858</v>
      </c>
      <c r="F796" t="s">
        <v>3562</v>
      </c>
      <c r="G796" t="s">
        <v>5859</v>
      </c>
    </row>
    <row r="797" customHeight="1" spans="1:7">
      <c r="A797" t="s">
        <v>16</v>
      </c>
      <c r="B797" t="s">
        <v>5806</v>
      </c>
      <c r="C797" t="s">
        <v>5807</v>
      </c>
      <c r="D797" t="s">
        <v>5860</v>
      </c>
      <c r="E797" t="s">
        <v>5861</v>
      </c>
      <c r="F797" t="s">
        <v>3562</v>
      </c>
      <c r="G797" t="s">
        <v>5862</v>
      </c>
    </row>
    <row r="798" customHeight="1" spans="1:7">
      <c r="A798" t="s">
        <v>16</v>
      </c>
      <c r="B798" t="s">
        <v>5806</v>
      </c>
      <c r="C798" t="s">
        <v>5807</v>
      </c>
      <c r="D798" t="s">
        <v>5863</v>
      </c>
      <c r="E798" t="s">
        <v>5864</v>
      </c>
      <c r="F798" t="s">
        <v>3562</v>
      </c>
      <c r="G798" t="s">
        <v>5865</v>
      </c>
    </row>
    <row r="799" customHeight="1" spans="1:7">
      <c r="A799" t="s">
        <v>16</v>
      </c>
      <c r="B799" t="s">
        <v>5806</v>
      </c>
      <c r="C799" t="s">
        <v>5807</v>
      </c>
      <c r="D799" t="s">
        <v>5866</v>
      </c>
      <c r="E799" t="s">
        <v>5867</v>
      </c>
      <c r="F799" t="s">
        <v>3664</v>
      </c>
      <c r="G799" t="s">
        <v>5868</v>
      </c>
    </row>
    <row r="800" customHeight="1" spans="1:7">
      <c r="A800" t="s">
        <v>16</v>
      </c>
      <c r="B800" t="s">
        <v>5869</v>
      </c>
      <c r="C800" t="s">
        <v>5870</v>
      </c>
      <c r="D800" t="s">
        <v>5871</v>
      </c>
      <c r="E800" t="s">
        <v>5872</v>
      </c>
      <c r="F800" t="s">
        <v>3562</v>
      </c>
      <c r="G800" t="s">
        <v>5873</v>
      </c>
    </row>
    <row r="801" customHeight="1" spans="1:7">
      <c r="A801" t="s">
        <v>16</v>
      </c>
      <c r="B801" t="s">
        <v>5869</v>
      </c>
      <c r="C801" t="s">
        <v>5870</v>
      </c>
      <c r="D801" t="s">
        <v>4207</v>
      </c>
      <c r="E801" t="s">
        <v>5874</v>
      </c>
      <c r="F801" t="s">
        <v>3562</v>
      </c>
      <c r="G801" t="s">
        <v>5875</v>
      </c>
    </row>
    <row r="802" customHeight="1" spans="1:7">
      <c r="A802" t="s">
        <v>16</v>
      </c>
      <c r="B802" t="s">
        <v>5869</v>
      </c>
      <c r="C802" t="s">
        <v>5870</v>
      </c>
      <c r="D802" t="s">
        <v>3937</v>
      </c>
      <c r="E802" t="s">
        <v>5876</v>
      </c>
      <c r="F802" t="s">
        <v>3562</v>
      </c>
      <c r="G802" t="s">
        <v>5877</v>
      </c>
    </row>
    <row r="803" customHeight="1" spans="1:7">
      <c r="A803" t="s">
        <v>16</v>
      </c>
      <c r="B803" t="s">
        <v>5869</v>
      </c>
      <c r="C803" t="s">
        <v>5870</v>
      </c>
      <c r="D803" t="s">
        <v>5878</v>
      </c>
      <c r="E803" t="s">
        <v>5879</v>
      </c>
      <c r="F803" t="s">
        <v>3562</v>
      </c>
      <c r="G803" t="s">
        <v>5880</v>
      </c>
    </row>
    <row r="804" customHeight="1" spans="1:7">
      <c r="A804" t="s">
        <v>16</v>
      </c>
      <c r="B804" t="s">
        <v>5869</v>
      </c>
      <c r="C804" t="s">
        <v>5870</v>
      </c>
      <c r="D804" t="s">
        <v>5881</v>
      </c>
      <c r="E804" t="s">
        <v>5882</v>
      </c>
      <c r="F804" t="s">
        <v>3562</v>
      </c>
      <c r="G804" t="s">
        <v>5883</v>
      </c>
    </row>
    <row r="805" customHeight="1" spans="1:7">
      <c r="A805" t="s">
        <v>16</v>
      </c>
      <c r="B805" t="s">
        <v>5869</v>
      </c>
      <c r="C805" t="s">
        <v>5870</v>
      </c>
      <c r="D805" t="s">
        <v>5884</v>
      </c>
      <c r="E805" t="s">
        <v>5885</v>
      </c>
      <c r="F805" t="s">
        <v>3562</v>
      </c>
      <c r="G805" t="s">
        <v>5886</v>
      </c>
    </row>
    <row r="806" customHeight="1" spans="1:7">
      <c r="A806" t="s">
        <v>16</v>
      </c>
      <c r="B806" t="s">
        <v>5869</v>
      </c>
      <c r="C806" t="s">
        <v>5870</v>
      </c>
      <c r="D806" t="s">
        <v>5887</v>
      </c>
      <c r="E806" t="s">
        <v>5888</v>
      </c>
      <c r="F806" t="s">
        <v>3562</v>
      </c>
      <c r="G806" t="s">
        <v>5889</v>
      </c>
    </row>
    <row r="807" customHeight="1" spans="1:7">
      <c r="A807" t="s">
        <v>16</v>
      </c>
      <c r="B807" t="s">
        <v>5869</v>
      </c>
      <c r="C807" t="s">
        <v>5870</v>
      </c>
      <c r="D807" t="s">
        <v>5890</v>
      </c>
      <c r="E807" t="s">
        <v>5891</v>
      </c>
      <c r="F807" t="s">
        <v>3562</v>
      </c>
      <c r="G807" t="s">
        <v>5892</v>
      </c>
    </row>
    <row r="808" customHeight="1" spans="1:7">
      <c r="A808" t="s">
        <v>16</v>
      </c>
      <c r="B808" t="s">
        <v>5869</v>
      </c>
      <c r="C808" t="s">
        <v>5870</v>
      </c>
      <c r="D808" t="s">
        <v>5893</v>
      </c>
      <c r="E808" t="s">
        <v>5894</v>
      </c>
      <c r="F808" t="s">
        <v>3562</v>
      </c>
      <c r="G808" t="s">
        <v>5895</v>
      </c>
    </row>
    <row r="809" customHeight="1" spans="1:7">
      <c r="A809" t="s">
        <v>16</v>
      </c>
      <c r="B809" t="s">
        <v>5869</v>
      </c>
      <c r="C809" t="s">
        <v>5870</v>
      </c>
      <c r="D809" t="s">
        <v>5896</v>
      </c>
      <c r="E809" t="s">
        <v>5897</v>
      </c>
      <c r="F809" t="s">
        <v>3562</v>
      </c>
      <c r="G809" t="s">
        <v>5898</v>
      </c>
    </row>
    <row r="810" customHeight="1" spans="1:7">
      <c r="A810" t="s">
        <v>16</v>
      </c>
      <c r="B810" t="s">
        <v>5869</v>
      </c>
      <c r="C810" t="s">
        <v>5870</v>
      </c>
      <c r="D810" t="s">
        <v>5899</v>
      </c>
      <c r="E810" t="s">
        <v>5900</v>
      </c>
      <c r="F810" t="s">
        <v>3562</v>
      </c>
      <c r="G810" t="s">
        <v>5901</v>
      </c>
    </row>
    <row r="811" customHeight="1" spans="1:7">
      <c r="A811" t="s">
        <v>16</v>
      </c>
      <c r="B811" t="s">
        <v>5869</v>
      </c>
      <c r="C811" t="s">
        <v>5870</v>
      </c>
      <c r="D811" t="s">
        <v>5902</v>
      </c>
      <c r="E811" t="s">
        <v>5903</v>
      </c>
      <c r="F811" t="s">
        <v>3562</v>
      </c>
      <c r="G811" t="s">
        <v>5904</v>
      </c>
    </row>
    <row r="812" customHeight="1" spans="1:7">
      <c r="A812" t="s">
        <v>16</v>
      </c>
      <c r="B812" t="s">
        <v>5869</v>
      </c>
      <c r="C812" t="s">
        <v>5870</v>
      </c>
      <c r="D812" t="s">
        <v>5905</v>
      </c>
      <c r="E812" t="s">
        <v>5906</v>
      </c>
      <c r="F812" t="s">
        <v>3562</v>
      </c>
      <c r="G812" t="s">
        <v>5907</v>
      </c>
    </row>
    <row r="813" customHeight="1" spans="1:7">
      <c r="A813" t="s">
        <v>16</v>
      </c>
      <c r="B813" t="s">
        <v>5869</v>
      </c>
      <c r="C813" t="s">
        <v>5870</v>
      </c>
      <c r="D813" t="s">
        <v>5908</v>
      </c>
      <c r="E813" t="s">
        <v>5909</v>
      </c>
      <c r="F813" t="s">
        <v>3562</v>
      </c>
      <c r="G813" t="s">
        <v>5910</v>
      </c>
    </row>
    <row r="814" customHeight="1" spans="1:7">
      <c r="A814" t="s">
        <v>16</v>
      </c>
      <c r="B814" t="s">
        <v>5869</v>
      </c>
      <c r="C814" t="s">
        <v>5870</v>
      </c>
      <c r="D814" t="s">
        <v>5911</v>
      </c>
      <c r="E814" t="s">
        <v>5912</v>
      </c>
      <c r="F814" t="s">
        <v>3562</v>
      </c>
      <c r="G814" t="s">
        <v>5913</v>
      </c>
    </row>
    <row r="815" customHeight="1" spans="1:7">
      <c r="A815" t="s">
        <v>16</v>
      </c>
      <c r="B815" t="s">
        <v>5869</v>
      </c>
      <c r="C815" t="s">
        <v>5870</v>
      </c>
      <c r="D815" t="s">
        <v>5869</v>
      </c>
      <c r="E815" t="s">
        <v>5870</v>
      </c>
      <c r="F815" t="s">
        <v>3559</v>
      </c>
      <c r="G815" t="s">
        <v>5914</v>
      </c>
    </row>
    <row r="816" customHeight="1" spans="1:7">
      <c r="A816" t="s">
        <v>16</v>
      </c>
      <c r="B816" t="s">
        <v>5869</v>
      </c>
      <c r="C816" t="s">
        <v>5870</v>
      </c>
      <c r="D816" t="s">
        <v>5915</v>
      </c>
      <c r="E816" t="s">
        <v>5916</v>
      </c>
      <c r="F816" t="s">
        <v>3562</v>
      </c>
      <c r="G816" t="s">
        <v>5917</v>
      </c>
    </row>
    <row r="817" customHeight="1" spans="1:7">
      <c r="A817" t="s">
        <v>16</v>
      </c>
      <c r="B817" t="s">
        <v>5869</v>
      </c>
      <c r="C817" t="s">
        <v>5870</v>
      </c>
      <c r="D817" t="s">
        <v>5918</v>
      </c>
      <c r="E817" t="s">
        <v>5919</v>
      </c>
      <c r="F817" t="s">
        <v>3562</v>
      </c>
      <c r="G817" t="s">
        <v>5920</v>
      </c>
    </row>
    <row r="818" customHeight="1" spans="1:7">
      <c r="A818" t="s">
        <v>16</v>
      </c>
      <c r="B818" t="s">
        <v>5869</v>
      </c>
      <c r="C818" t="s">
        <v>5870</v>
      </c>
      <c r="D818" t="s">
        <v>5921</v>
      </c>
      <c r="E818" t="s">
        <v>5922</v>
      </c>
      <c r="F818" t="s">
        <v>3562</v>
      </c>
      <c r="G818" t="s">
        <v>5923</v>
      </c>
    </row>
    <row r="819" customHeight="1" spans="1:7">
      <c r="A819" t="s">
        <v>16</v>
      </c>
      <c r="B819" t="s">
        <v>5869</v>
      </c>
      <c r="C819" t="s">
        <v>5870</v>
      </c>
      <c r="D819" t="s">
        <v>5924</v>
      </c>
      <c r="E819" t="s">
        <v>5925</v>
      </c>
      <c r="F819" t="s">
        <v>3562</v>
      </c>
      <c r="G819" t="s">
        <v>5926</v>
      </c>
    </row>
    <row r="820" customHeight="1" spans="1:7">
      <c r="A820" t="s">
        <v>16</v>
      </c>
      <c r="B820" t="s">
        <v>5869</v>
      </c>
      <c r="C820" t="s">
        <v>5870</v>
      </c>
      <c r="D820" t="s">
        <v>5927</v>
      </c>
      <c r="E820" t="s">
        <v>5928</v>
      </c>
      <c r="F820" t="s">
        <v>3562</v>
      </c>
      <c r="G820" t="s">
        <v>5929</v>
      </c>
    </row>
    <row r="821" customHeight="1" spans="1:7">
      <c r="A821" t="s">
        <v>16</v>
      </c>
      <c r="B821" t="s">
        <v>5869</v>
      </c>
      <c r="C821" t="s">
        <v>5870</v>
      </c>
      <c r="D821" t="s">
        <v>5930</v>
      </c>
      <c r="E821" t="s">
        <v>5931</v>
      </c>
      <c r="F821" t="s">
        <v>3562</v>
      </c>
      <c r="G821" t="s">
        <v>5932</v>
      </c>
    </row>
    <row r="822" customHeight="1" spans="1:7">
      <c r="A822" t="s">
        <v>16</v>
      </c>
      <c r="B822" t="s">
        <v>5869</v>
      </c>
      <c r="C822" t="s">
        <v>5870</v>
      </c>
      <c r="D822" t="s">
        <v>5933</v>
      </c>
      <c r="E822" t="s">
        <v>5934</v>
      </c>
      <c r="F822" t="s">
        <v>3562</v>
      </c>
      <c r="G822" t="s">
        <v>5935</v>
      </c>
    </row>
    <row r="823" customHeight="1" spans="1:7">
      <c r="A823" t="s">
        <v>16</v>
      </c>
      <c r="B823" t="s">
        <v>5869</v>
      </c>
      <c r="C823" t="s">
        <v>5870</v>
      </c>
      <c r="D823" t="s">
        <v>5936</v>
      </c>
      <c r="E823" t="s">
        <v>5937</v>
      </c>
      <c r="F823" t="s">
        <v>3664</v>
      </c>
      <c r="G823" t="s">
        <v>5938</v>
      </c>
    </row>
    <row r="824" customHeight="1" spans="1:7">
      <c r="A824" t="s">
        <v>16</v>
      </c>
      <c r="B824" t="s">
        <v>5939</v>
      </c>
      <c r="C824" t="s">
        <v>5940</v>
      </c>
      <c r="D824" t="s">
        <v>5941</v>
      </c>
      <c r="E824" t="s">
        <v>5942</v>
      </c>
      <c r="F824" t="s">
        <v>3562</v>
      </c>
      <c r="G824" t="s">
        <v>5943</v>
      </c>
    </row>
    <row r="825" customHeight="1" spans="1:7">
      <c r="A825" t="s">
        <v>16</v>
      </c>
      <c r="B825" t="s">
        <v>5939</v>
      </c>
      <c r="C825" t="s">
        <v>5940</v>
      </c>
      <c r="D825" t="s">
        <v>5944</v>
      </c>
      <c r="E825" t="s">
        <v>5945</v>
      </c>
      <c r="F825" t="s">
        <v>3562</v>
      </c>
      <c r="G825" t="s">
        <v>5946</v>
      </c>
    </row>
    <row r="826" customHeight="1" spans="1:7">
      <c r="A826" t="s">
        <v>16</v>
      </c>
      <c r="B826" t="s">
        <v>5939</v>
      </c>
      <c r="C826" t="s">
        <v>5940</v>
      </c>
      <c r="D826" t="s">
        <v>5947</v>
      </c>
      <c r="E826" t="s">
        <v>5948</v>
      </c>
      <c r="F826" t="s">
        <v>3562</v>
      </c>
      <c r="G826" t="s">
        <v>5949</v>
      </c>
    </row>
    <row r="827" customHeight="1" spans="1:7">
      <c r="A827" t="s">
        <v>16</v>
      </c>
      <c r="B827" t="s">
        <v>5939</v>
      </c>
      <c r="C827" t="s">
        <v>5940</v>
      </c>
      <c r="D827" t="s">
        <v>5950</v>
      </c>
      <c r="E827" t="s">
        <v>5951</v>
      </c>
      <c r="F827" t="s">
        <v>3567</v>
      </c>
      <c r="G827" t="s">
        <v>5952</v>
      </c>
    </row>
    <row r="828" customHeight="1" spans="1:7">
      <c r="A828" t="s">
        <v>16</v>
      </c>
      <c r="B828" t="s">
        <v>5939</v>
      </c>
      <c r="C828" t="s">
        <v>5940</v>
      </c>
      <c r="D828" t="s">
        <v>5953</v>
      </c>
      <c r="E828" t="s">
        <v>5954</v>
      </c>
      <c r="F828" t="s">
        <v>3562</v>
      </c>
      <c r="G828" t="s">
        <v>5955</v>
      </c>
    </row>
    <row r="829" customHeight="1" spans="1:7">
      <c r="A829" t="s">
        <v>16</v>
      </c>
      <c r="B829" t="s">
        <v>5939</v>
      </c>
      <c r="C829" t="s">
        <v>5940</v>
      </c>
      <c r="D829" t="s">
        <v>5956</v>
      </c>
      <c r="E829" t="s">
        <v>5957</v>
      </c>
      <c r="F829" t="s">
        <v>3562</v>
      </c>
      <c r="G829" t="s">
        <v>5958</v>
      </c>
    </row>
    <row r="830" customHeight="1" spans="1:7">
      <c r="A830" t="s">
        <v>16</v>
      </c>
      <c r="B830" t="s">
        <v>5939</v>
      </c>
      <c r="C830" t="s">
        <v>5940</v>
      </c>
      <c r="D830" t="s">
        <v>5959</v>
      </c>
      <c r="E830" t="s">
        <v>5960</v>
      </c>
      <c r="F830" t="s">
        <v>3562</v>
      </c>
      <c r="G830" t="s">
        <v>5961</v>
      </c>
    </row>
    <row r="831" customHeight="1" spans="1:7">
      <c r="A831" t="s">
        <v>16</v>
      </c>
      <c r="B831" t="s">
        <v>5939</v>
      </c>
      <c r="C831" t="s">
        <v>5940</v>
      </c>
      <c r="D831" t="s">
        <v>5962</v>
      </c>
      <c r="E831" t="s">
        <v>5963</v>
      </c>
      <c r="F831" t="s">
        <v>3562</v>
      </c>
      <c r="G831" t="s">
        <v>5964</v>
      </c>
    </row>
    <row r="832" customHeight="1" spans="1:7">
      <c r="A832" t="s">
        <v>16</v>
      </c>
      <c r="B832" t="s">
        <v>5939</v>
      </c>
      <c r="C832" t="s">
        <v>5940</v>
      </c>
      <c r="D832" t="s">
        <v>5965</v>
      </c>
      <c r="E832" t="s">
        <v>5966</v>
      </c>
      <c r="F832" t="s">
        <v>3562</v>
      </c>
      <c r="G832" t="s">
        <v>5967</v>
      </c>
    </row>
    <row r="833" customHeight="1" spans="1:7">
      <c r="A833" t="s">
        <v>16</v>
      </c>
      <c r="B833" t="s">
        <v>5939</v>
      </c>
      <c r="C833" t="s">
        <v>5940</v>
      </c>
      <c r="D833" t="s">
        <v>4488</v>
      </c>
      <c r="E833" t="s">
        <v>5968</v>
      </c>
      <c r="F833" t="s">
        <v>3562</v>
      </c>
      <c r="G833" t="s">
        <v>5969</v>
      </c>
    </row>
    <row r="834" customHeight="1" spans="1:7">
      <c r="A834" t="s">
        <v>16</v>
      </c>
      <c r="B834" t="s">
        <v>5939</v>
      </c>
      <c r="C834" t="s">
        <v>5940</v>
      </c>
      <c r="D834" t="s">
        <v>5107</v>
      </c>
      <c r="E834" t="s">
        <v>5970</v>
      </c>
      <c r="F834" t="s">
        <v>3562</v>
      </c>
      <c r="G834" t="s">
        <v>5971</v>
      </c>
    </row>
    <row r="835" customHeight="1" spans="1:7">
      <c r="A835" t="s">
        <v>16</v>
      </c>
      <c r="B835" t="s">
        <v>5939</v>
      </c>
      <c r="C835" t="s">
        <v>5940</v>
      </c>
      <c r="D835" t="s">
        <v>5775</v>
      </c>
      <c r="E835" t="s">
        <v>5972</v>
      </c>
      <c r="F835" t="s">
        <v>3562</v>
      </c>
      <c r="G835" t="s">
        <v>5973</v>
      </c>
    </row>
    <row r="836" customHeight="1" spans="1:7">
      <c r="A836" t="s">
        <v>16</v>
      </c>
      <c r="B836" t="s">
        <v>5939</v>
      </c>
      <c r="C836" t="s">
        <v>5940</v>
      </c>
      <c r="D836" t="s">
        <v>5974</v>
      </c>
      <c r="E836" t="s">
        <v>5975</v>
      </c>
      <c r="F836" t="s">
        <v>3562</v>
      </c>
      <c r="G836" t="s">
        <v>5976</v>
      </c>
    </row>
    <row r="837" customHeight="1" spans="1:7">
      <c r="A837" t="s">
        <v>16</v>
      </c>
      <c r="B837" t="s">
        <v>5939</v>
      </c>
      <c r="C837" t="s">
        <v>5940</v>
      </c>
      <c r="D837" t="s">
        <v>5939</v>
      </c>
      <c r="E837" t="s">
        <v>5940</v>
      </c>
      <c r="F837" t="s">
        <v>3559</v>
      </c>
      <c r="G837" t="s">
        <v>5977</v>
      </c>
    </row>
    <row r="838" customHeight="1" spans="1:7">
      <c r="A838" t="s">
        <v>16</v>
      </c>
      <c r="B838" t="s">
        <v>5939</v>
      </c>
      <c r="C838" t="s">
        <v>5940</v>
      </c>
      <c r="D838" t="s">
        <v>5978</v>
      </c>
      <c r="E838" t="s">
        <v>5979</v>
      </c>
      <c r="F838" t="s">
        <v>3562</v>
      </c>
      <c r="G838" t="s">
        <v>5980</v>
      </c>
    </row>
    <row r="839" customHeight="1" spans="1:7">
      <c r="A839" t="s">
        <v>16</v>
      </c>
      <c r="B839" t="s">
        <v>5939</v>
      </c>
      <c r="C839" t="s">
        <v>5940</v>
      </c>
      <c r="D839" t="s">
        <v>5981</v>
      </c>
      <c r="E839" t="s">
        <v>5982</v>
      </c>
      <c r="F839" t="s">
        <v>3562</v>
      </c>
      <c r="G839" t="s">
        <v>5983</v>
      </c>
    </row>
    <row r="840" customHeight="1" spans="1:7">
      <c r="A840" t="s">
        <v>16</v>
      </c>
      <c r="B840" t="s">
        <v>5939</v>
      </c>
      <c r="C840" t="s">
        <v>5940</v>
      </c>
      <c r="D840" t="s">
        <v>5984</v>
      </c>
      <c r="E840" t="s">
        <v>5985</v>
      </c>
      <c r="F840" t="s">
        <v>3562</v>
      </c>
      <c r="G840" t="s">
        <v>5986</v>
      </c>
    </row>
    <row r="841" customHeight="1" spans="1:7">
      <c r="A841" t="s">
        <v>16</v>
      </c>
      <c r="B841" t="s">
        <v>5939</v>
      </c>
      <c r="C841" t="s">
        <v>5940</v>
      </c>
      <c r="D841" t="s">
        <v>5987</v>
      </c>
      <c r="E841" t="s">
        <v>5988</v>
      </c>
      <c r="F841" t="s">
        <v>3562</v>
      </c>
      <c r="G841" t="s">
        <v>5989</v>
      </c>
    </row>
    <row r="842" customHeight="1" spans="1:7">
      <c r="A842" t="s">
        <v>16</v>
      </c>
      <c r="B842" t="s">
        <v>5990</v>
      </c>
      <c r="C842" t="s">
        <v>5991</v>
      </c>
      <c r="D842" t="s">
        <v>5992</v>
      </c>
      <c r="E842" t="s">
        <v>5993</v>
      </c>
      <c r="F842" t="s">
        <v>3562</v>
      </c>
      <c r="G842" t="s">
        <v>5994</v>
      </c>
    </row>
    <row r="843" customHeight="1" spans="1:7">
      <c r="A843" t="s">
        <v>16</v>
      </c>
      <c r="B843" t="s">
        <v>5990</v>
      </c>
      <c r="C843" t="s">
        <v>5991</v>
      </c>
      <c r="D843" t="s">
        <v>5995</v>
      </c>
      <c r="E843" t="s">
        <v>5996</v>
      </c>
      <c r="F843" t="s">
        <v>3562</v>
      </c>
      <c r="G843" t="s">
        <v>5997</v>
      </c>
    </row>
    <row r="844" customHeight="1" spans="1:7">
      <c r="A844" t="s">
        <v>16</v>
      </c>
      <c r="B844" t="s">
        <v>5990</v>
      </c>
      <c r="C844" t="s">
        <v>5991</v>
      </c>
      <c r="D844" t="s">
        <v>4049</v>
      </c>
      <c r="E844" t="s">
        <v>5998</v>
      </c>
      <c r="F844" t="s">
        <v>3562</v>
      </c>
      <c r="G844" t="s">
        <v>5999</v>
      </c>
    </row>
    <row r="845" customHeight="1" spans="1:7">
      <c r="A845" t="s">
        <v>16</v>
      </c>
      <c r="B845" t="s">
        <v>5990</v>
      </c>
      <c r="C845" t="s">
        <v>5991</v>
      </c>
      <c r="D845" t="s">
        <v>6000</v>
      </c>
      <c r="E845" t="s">
        <v>6001</v>
      </c>
      <c r="F845" t="s">
        <v>3562</v>
      </c>
      <c r="G845" t="s">
        <v>6002</v>
      </c>
    </row>
    <row r="846" customHeight="1" spans="1:7">
      <c r="A846" t="s">
        <v>16</v>
      </c>
      <c r="B846" t="s">
        <v>5990</v>
      </c>
      <c r="C846" t="s">
        <v>5991</v>
      </c>
      <c r="D846" t="s">
        <v>6003</v>
      </c>
      <c r="E846" t="s">
        <v>6004</v>
      </c>
      <c r="F846" t="s">
        <v>3562</v>
      </c>
      <c r="G846" t="s">
        <v>6005</v>
      </c>
    </row>
    <row r="847" customHeight="1" spans="1:7">
      <c r="A847" t="s">
        <v>16</v>
      </c>
      <c r="B847" t="s">
        <v>5990</v>
      </c>
      <c r="C847" t="s">
        <v>5991</v>
      </c>
      <c r="D847" t="s">
        <v>6006</v>
      </c>
      <c r="E847" t="s">
        <v>6007</v>
      </c>
      <c r="F847" t="s">
        <v>3562</v>
      </c>
      <c r="G847" t="s">
        <v>6008</v>
      </c>
    </row>
    <row r="848" customHeight="1" spans="1:7">
      <c r="A848" t="s">
        <v>16</v>
      </c>
      <c r="B848" t="s">
        <v>5990</v>
      </c>
      <c r="C848" t="s">
        <v>5991</v>
      </c>
      <c r="D848" t="s">
        <v>6009</v>
      </c>
      <c r="E848" t="s">
        <v>6010</v>
      </c>
      <c r="F848" t="s">
        <v>3562</v>
      </c>
      <c r="G848" t="s">
        <v>6011</v>
      </c>
    </row>
    <row r="849" customHeight="1" spans="1:7">
      <c r="A849" t="s">
        <v>16</v>
      </c>
      <c r="B849" t="s">
        <v>5990</v>
      </c>
      <c r="C849" t="s">
        <v>5991</v>
      </c>
      <c r="D849" t="s">
        <v>6012</v>
      </c>
      <c r="E849" t="s">
        <v>6013</v>
      </c>
      <c r="F849" t="s">
        <v>3562</v>
      </c>
      <c r="G849" t="s">
        <v>6014</v>
      </c>
    </row>
    <row r="850" customHeight="1" spans="1:7">
      <c r="A850" t="s">
        <v>16</v>
      </c>
      <c r="B850" t="s">
        <v>5990</v>
      </c>
      <c r="C850" t="s">
        <v>5991</v>
      </c>
      <c r="D850" t="s">
        <v>6015</v>
      </c>
      <c r="E850" t="s">
        <v>6016</v>
      </c>
      <c r="F850" t="s">
        <v>3562</v>
      </c>
      <c r="G850" t="s">
        <v>6017</v>
      </c>
    </row>
    <row r="851" customHeight="1" spans="1:7">
      <c r="A851" t="s">
        <v>16</v>
      </c>
      <c r="B851" t="s">
        <v>5990</v>
      </c>
      <c r="C851" t="s">
        <v>5991</v>
      </c>
      <c r="D851" t="s">
        <v>6018</v>
      </c>
      <c r="E851" t="s">
        <v>6019</v>
      </c>
      <c r="F851" t="s">
        <v>3567</v>
      </c>
      <c r="G851" t="s">
        <v>6020</v>
      </c>
    </row>
    <row r="852" customHeight="1" spans="1:7">
      <c r="A852" t="s">
        <v>16</v>
      </c>
      <c r="B852" t="s">
        <v>5990</v>
      </c>
      <c r="C852" t="s">
        <v>5991</v>
      </c>
      <c r="D852" t="s">
        <v>6021</v>
      </c>
      <c r="E852" t="s">
        <v>6022</v>
      </c>
      <c r="F852" t="s">
        <v>3562</v>
      </c>
      <c r="G852" t="s">
        <v>6023</v>
      </c>
    </row>
    <row r="853" customHeight="1" spans="1:7">
      <c r="A853" t="s">
        <v>16</v>
      </c>
      <c r="B853" t="s">
        <v>5990</v>
      </c>
      <c r="C853" t="s">
        <v>5991</v>
      </c>
      <c r="D853" t="s">
        <v>6024</v>
      </c>
      <c r="E853" t="s">
        <v>6025</v>
      </c>
      <c r="F853" t="s">
        <v>3562</v>
      </c>
      <c r="G853" t="s">
        <v>6026</v>
      </c>
    </row>
    <row r="854" customHeight="1" spans="1:7">
      <c r="A854" t="s">
        <v>16</v>
      </c>
      <c r="B854" t="s">
        <v>5990</v>
      </c>
      <c r="C854" t="s">
        <v>5991</v>
      </c>
      <c r="D854" t="s">
        <v>6027</v>
      </c>
      <c r="E854" t="s">
        <v>6028</v>
      </c>
      <c r="F854" t="s">
        <v>3562</v>
      </c>
      <c r="G854" t="s">
        <v>6029</v>
      </c>
    </row>
    <row r="855" customHeight="1" spans="1:7">
      <c r="A855" t="s">
        <v>16</v>
      </c>
      <c r="B855" t="s">
        <v>5990</v>
      </c>
      <c r="C855" t="s">
        <v>5991</v>
      </c>
      <c r="D855" t="s">
        <v>6030</v>
      </c>
      <c r="E855" t="s">
        <v>6031</v>
      </c>
      <c r="F855" t="s">
        <v>3562</v>
      </c>
      <c r="G855" t="s">
        <v>6032</v>
      </c>
    </row>
    <row r="856" customHeight="1" spans="1:7">
      <c r="A856" t="s">
        <v>16</v>
      </c>
      <c r="B856" t="s">
        <v>5990</v>
      </c>
      <c r="C856" t="s">
        <v>5991</v>
      </c>
      <c r="D856" t="s">
        <v>6033</v>
      </c>
      <c r="E856" t="s">
        <v>6034</v>
      </c>
      <c r="F856" t="s">
        <v>3562</v>
      </c>
      <c r="G856" t="s">
        <v>6035</v>
      </c>
    </row>
    <row r="857" customHeight="1" spans="1:7">
      <c r="A857" t="s">
        <v>16</v>
      </c>
      <c r="B857" t="s">
        <v>5990</v>
      </c>
      <c r="C857" t="s">
        <v>5991</v>
      </c>
      <c r="D857" t="s">
        <v>6036</v>
      </c>
      <c r="E857" t="s">
        <v>6037</v>
      </c>
      <c r="F857" t="s">
        <v>3562</v>
      </c>
      <c r="G857" t="s">
        <v>6038</v>
      </c>
    </row>
    <row r="858" customHeight="1" spans="1:7">
      <c r="A858" t="s">
        <v>16</v>
      </c>
      <c r="B858" t="s">
        <v>5990</v>
      </c>
      <c r="C858" t="s">
        <v>5991</v>
      </c>
      <c r="D858" t="s">
        <v>6039</v>
      </c>
      <c r="E858" t="s">
        <v>6040</v>
      </c>
      <c r="F858" t="s">
        <v>3562</v>
      </c>
      <c r="G858" t="s">
        <v>6041</v>
      </c>
    </row>
    <row r="859" customHeight="1" spans="1:7">
      <c r="A859" t="s">
        <v>16</v>
      </c>
      <c r="B859" t="s">
        <v>5990</v>
      </c>
      <c r="C859" t="s">
        <v>5991</v>
      </c>
      <c r="D859" t="s">
        <v>5104</v>
      </c>
      <c r="E859" t="s">
        <v>6042</v>
      </c>
      <c r="F859" t="s">
        <v>3562</v>
      </c>
      <c r="G859" t="s">
        <v>6043</v>
      </c>
    </row>
    <row r="860" customHeight="1" spans="1:7">
      <c r="A860" t="s">
        <v>16</v>
      </c>
      <c r="B860" t="s">
        <v>5990</v>
      </c>
      <c r="C860" t="s">
        <v>5991</v>
      </c>
      <c r="D860" t="s">
        <v>6044</v>
      </c>
      <c r="E860" t="s">
        <v>6045</v>
      </c>
      <c r="F860" t="s">
        <v>3562</v>
      </c>
      <c r="G860" t="s">
        <v>6046</v>
      </c>
    </row>
    <row r="861" customHeight="1" spans="1:7">
      <c r="A861" t="s">
        <v>16</v>
      </c>
      <c r="B861" t="s">
        <v>5990</v>
      </c>
      <c r="C861" t="s">
        <v>5991</v>
      </c>
      <c r="D861" t="s">
        <v>5990</v>
      </c>
      <c r="E861" t="s">
        <v>5991</v>
      </c>
      <c r="F861" t="s">
        <v>3559</v>
      </c>
      <c r="G861" t="s">
        <v>6047</v>
      </c>
    </row>
    <row r="862" customHeight="1" spans="1:7">
      <c r="A862" t="s">
        <v>16</v>
      </c>
      <c r="B862" t="s">
        <v>5990</v>
      </c>
      <c r="C862" t="s">
        <v>5991</v>
      </c>
      <c r="D862" t="s">
        <v>6048</v>
      </c>
      <c r="E862" t="s">
        <v>6049</v>
      </c>
      <c r="F862" t="s">
        <v>3562</v>
      </c>
      <c r="G862" t="s">
        <v>6050</v>
      </c>
    </row>
    <row r="863" customHeight="1" spans="1:7">
      <c r="A863" t="s">
        <v>16</v>
      </c>
      <c r="B863" t="s">
        <v>5990</v>
      </c>
      <c r="C863" t="s">
        <v>5991</v>
      </c>
      <c r="D863" t="s">
        <v>4900</v>
      </c>
      <c r="E863" t="s">
        <v>6051</v>
      </c>
      <c r="F863" t="s">
        <v>3562</v>
      </c>
      <c r="G863" t="s">
        <v>6052</v>
      </c>
    </row>
    <row r="864" customHeight="1" spans="1:7">
      <c r="A864" t="s">
        <v>16</v>
      </c>
      <c r="B864" t="s">
        <v>6053</v>
      </c>
      <c r="C864" t="s">
        <v>6054</v>
      </c>
      <c r="D864" t="s">
        <v>6055</v>
      </c>
      <c r="E864" t="s">
        <v>6056</v>
      </c>
      <c r="F864" t="s">
        <v>3562</v>
      </c>
      <c r="G864" t="s">
        <v>6057</v>
      </c>
    </row>
    <row r="865" customHeight="1" spans="1:7">
      <c r="A865" t="s">
        <v>16</v>
      </c>
      <c r="B865" t="s">
        <v>6053</v>
      </c>
      <c r="C865" t="s">
        <v>6054</v>
      </c>
      <c r="D865" t="s">
        <v>6058</v>
      </c>
      <c r="E865" t="s">
        <v>6059</v>
      </c>
      <c r="F865" t="s">
        <v>3562</v>
      </c>
      <c r="G865" t="s">
        <v>6060</v>
      </c>
    </row>
    <row r="866" customHeight="1" spans="1:7">
      <c r="A866" t="s">
        <v>16</v>
      </c>
      <c r="B866" t="s">
        <v>6053</v>
      </c>
      <c r="C866" t="s">
        <v>6054</v>
      </c>
      <c r="D866" t="s">
        <v>6061</v>
      </c>
      <c r="E866" t="s">
        <v>6062</v>
      </c>
      <c r="F866" t="s">
        <v>3562</v>
      </c>
      <c r="G866" t="s">
        <v>6063</v>
      </c>
    </row>
    <row r="867" customHeight="1" spans="1:7">
      <c r="A867" t="s">
        <v>16</v>
      </c>
      <c r="B867" t="s">
        <v>6053</v>
      </c>
      <c r="C867" t="s">
        <v>6054</v>
      </c>
      <c r="D867" t="s">
        <v>6064</v>
      </c>
      <c r="E867" t="s">
        <v>6065</v>
      </c>
      <c r="F867" t="s">
        <v>3562</v>
      </c>
      <c r="G867" t="s">
        <v>6066</v>
      </c>
    </row>
    <row r="868" customHeight="1" spans="1:7">
      <c r="A868" t="s">
        <v>16</v>
      </c>
      <c r="B868" t="s">
        <v>6053</v>
      </c>
      <c r="C868" t="s">
        <v>6054</v>
      </c>
      <c r="D868" t="s">
        <v>6067</v>
      </c>
      <c r="E868" t="s">
        <v>6068</v>
      </c>
      <c r="F868" t="s">
        <v>3562</v>
      </c>
      <c r="G868" t="s">
        <v>6069</v>
      </c>
    </row>
    <row r="869" customHeight="1" spans="1:7">
      <c r="A869" t="s">
        <v>16</v>
      </c>
      <c r="B869" t="s">
        <v>6053</v>
      </c>
      <c r="C869" t="s">
        <v>6054</v>
      </c>
      <c r="D869" t="s">
        <v>6070</v>
      </c>
      <c r="E869" t="s">
        <v>6071</v>
      </c>
      <c r="F869" t="s">
        <v>3562</v>
      </c>
      <c r="G869" t="s">
        <v>6072</v>
      </c>
    </row>
    <row r="870" customHeight="1" spans="1:7">
      <c r="A870" t="s">
        <v>16</v>
      </c>
      <c r="B870" t="s">
        <v>6053</v>
      </c>
      <c r="C870" t="s">
        <v>6054</v>
      </c>
      <c r="D870" t="s">
        <v>6073</v>
      </c>
      <c r="E870" t="s">
        <v>6074</v>
      </c>
      <c r="F870" t="s">
        <v>3562</v>
      </c>
      <c r="G870" t="s">
        <v>6075</v>
      </c>
    </row>
    <row r="871" customHeight="1" spans="1:7">
      <c r="A871" t="s">
        <v>16</v>
      </c>
      <c r="B871" t="s">
        <v>6053</v>
      </c>
      <c r="C871" t="s">
        <v>6054</v>
      </c>
      <c r="D871" t="s">
        <v>6076</v>
      </c>
      <c r="E871" t="s">
        <v>6077</v>
      </c>
      <c r="F871" t="s">
        <v>3562</v>
      </c>
      <c r="G871" t="s">
        <v>6078</v>
      </c>
    </row>
    <row r="872" customHeight="1" spans="1:7">
      <c r="A872" t="s">
        <v>16</v>
      </c>
      <c r="B872" t="s">
        <v>6053</v>
      </c>
      <c r="C872" t="s">
        <v>6054</v>
      </c>
      <c r="D872" t="s">
        <v>6079</v>
      </c>
      <c r="E872" t="s">
        <v>6080</v>
      </c>
      <c r="F872" t="s">
        <v>3562</v>
      </c>
      <c r="G872" t="s">
        <v>6081</v>
      </c>
    </row>
    <row r="873" customHeight="1" spans="1:7">
      <c r="A873" t="s">
        <v>16</v>
      </c>
      <c r="B873" t="s">
        <v>6053</v>
      </c>
      <c r="C873" t="s">
        <v>6054</v>
      </c>
      <c r="D873" t="s">
        <v>6082</v>
      </c>
      <c r="E873" t="s">
        <v>6083</v>
      </c>
      <c r="F873" t="s">
        <v>3562</v>
      </c>
      <c r="G873" t="s">
        <v>6084</v>
      </c>
    </row>
    <row r="874" customHeight="1" spans="1:7">
      <c r="A874" t="s">
        <v>16</v>
      </c>
      <c r="B874" t="s">
        <v>6053</v>
      </c>
      <c r="C874" t="s">
        <v>6054</v>
      </c>
      <c r="D874" t="s">
        <v>6085</v>
      </c>
      <c r="E874" t="s">
        <v>6086</v>
      </c>
      <c r="F874" t="s">
        <v>3562</v>
      </c>
      <c r="G874" t="s">
        <v>6087</v>
      </c>
    </row>
    <row r="875" customHeight="1" spans="1:7">
      <c r="A875" t="s">
        <v>16</v>
      </c>
      <c r="B875" t="s">
        <v>6053</v>
      </c>
      <c r="C875" t="s">
        <v>6054</v>
      </c>
      <c r="D875" t="s">
        <v>6088</v>
      </c>
      <c r="E875" t="s">
        <v>6089</v>
      </c>
      <c r="F875" t="s">
        <v>3562</v>
      </c>
      <c r="G875" t="s">
        <v>6090</v>
      </c>
    </row>
    <row r="876" customHeight="1" spans="1:7">
      <c r="A876" t="s">
        <v>16</v>
      </c>
      <c r="B876" t="s">
        <v>6053</v>
      </c>
      <c r="C876" t="s">
        <v>6054</v>
      </c>
      <c r="D876" t="s">
        <v>6091</v>
      </c>
      <c r="E876" t="s">
        <v>6092</v>
      </c>
      <c r="F876" t="s">
        <v>3562</v>
      </c>
      <c r="G876" t="s">
        <v>6093</v>
      </c>
    </row>
    <row r="877" customHeight="1" spans="1:7">
      <c r="A877" t="s">
        <v>16</v>
      </c>
      <c r="B877" t="s">
        <v>6053</v>
      </c>
      <c r="C877" t="s">
        <v>6054</v>
      </c>
      <c r="D877" t="s">
        <v>6094</v>
      </c>
      <c r="E877" t="s">
        <v>6095</v>
      </c>
      <c r="F877" t="s">
        <v>3562</v>
      </c>
      <c r="G877" t="s">
        <v>6096</v>
      </c>
    </row>
    <row r="878" customHeight="1" spans="1:7">
      <c r="A878" t="s">
        <v>16</v>
      </c>
      <c r="B878" t="s">
        <v>6053</v>
      </c>
      <c r="C878" t="s">
        <v>6054</v>
      </c>
      <c r="D878" t="s">
        <v>6097</v>
      </c>
      <c r="E878" t="s">
        <v>6098</v>
      </c>
      <c r="F878" t="s">
        <v>3562</v>
      </c>
      <c r="G878" t="s">
        <v>6099</v>
      </c>
    </row>
    <row r="879" customHeight="1" spans="1:7">
      <c r="A879" t="s">
        <v>16</v>
      </c>
      <c r="B879" t="s">
        <v>6053</v>
      </c>
      <c r="C879" t="s">
        <v>6054</v>
      </c>
      <c r="D879" t="s">
        <v>6100</v>
      </c>
      <c r="E879" t="s">
        <v>6101</v>
      </c>
      <c r="F879" t="s">
        <v>3562</v>
      </c>
      <c r="G879" t="s">
        <v>6102</v>
      </c>
    </row>
    <row r="880" customHeight="1" spans="1:7">
      <c r="A880" t="s">
        <v>16</v>
      </c>
      <c r="B880" t="s">
        <v>6053</v>
      </c>
      <c r="C880" t="s">
        <v>6054</v>
      </c>
      <c r="D880" t="s">
        <v>4013</v>
      </c>
      <c r="E880" t="s">
        <v>6103</v>
      </c>
      <c r="F880" t="s">
        <v>3562</v>
      </c>
      <c r="G880" t="s">
        <v>6104</v>
      </c>
    </row>
    <row r="881" customHeight="1" spans="1:7">
      <c r="A881" t="s">
        <v>16</v>
      </c>
      <c r="B881" t="s">
        <v>6053</v>
      </c>
      <c r="C881" t="s">
        <v>6054</v>
      </c>
      <c r="D881" t="s">
        <v>6105</v>
      </c>
      <c r="E881" t="s">
        <v>6106</v>
      </c>
      <c r="F881" t="s">
        <v>3562</v>
      </c>
      <c r="G881" t="s">
        <v>6107</v>
      </c>
    </row>
    <row r="882" customHeight="1" spans="1:7">
      <c r="A882" t="s">
        <v>16</v>
      </c>
      <c r="B882" t="s">
        <v>6053</v>
      </c>
      <c r="C882" t="s">
        <v>6054</v>
      </c>
      <c r="D882" t="s">
        <v>6108</v>
      </c>
      <c r="E882" t="s">
        <v>6109</v>
      </c>
      <c r="F882" t="s">
        <v>3562</v>
      </c>
      <c r="G882" t="s">
        <v>6110</v>
      </c>
    </row>
    <row r="883" customHeight="1" spans="1:7">
      <c r="A883" t="s">
        <v>16</v>
      </c>
      <c r="B883" t="s">
        <v>6053</v>
      </c>
      <c r="C883" t="s">
        <v>6054</v>
      </c>
      <c r="D883" t="s">
        <v>6111</v>
      </c>
      <c r="E883" t="s">
        <v>6112</v>
      </c>
      <c r="F883" t="s">
        <v>3562</v>
      </c>
      <c r="G883" t="s">
        <v>6113</v>
      </c>
    </row>
    <row r="884" customHeight="1" spans="1:7">
      <c r="A884" t="s">
        <v>16</v>
      </c>
      <c r="B884" t="s">
        <v>6053</v>
      </c>
      <c r="C884" t="s">
        <v>6054</v>
      </c>
      <c r="D884" t="s">
        <v>6114</v>
      </c>
      <c r="E884" t="s">
        <v>6115</v>
      </c>
      <c r="F884" t="s">
        <v>3562</v>
      </c>
      <c r="G884" t="s">
        <v>6116</v>
      </c>
    </row>
    <row r="885" customHeight="1" spans="1:7">
      <c r="A885" t="s">
        <v>16</v>
      </c>
      <c r="B885" t="s">
        <v>6053</v>
      </c>
      <c r="C885" t="s">
        <v>6054</v>
      </c>
      <c r="D885" t="s">
        <v>6053</v>
      </c>
      <c r="E885" t="s">
        <v>6054</v>
      </c>
      <c r="F885" t="s">
        <v>3559</v>
      </c>
      <c r="G885" t="s">
        <v>6117</v>
      </c>
    </row>
    <row r="886" customHeight="1" spans="1:7">
      <c r="A886" t="s">
        <v>16</v>
      </c>
      <c r="B886" t="s">
        <v>6053</v>
      </c>
      <c r="C886" t="s">
        <v>6054</v>
      </c>
      <c r="D886" t="s">
        <v>6118</v>
      </c>
      <c r="E886" t="s">
        <v>6119</v>
      </c>
      <c r="F886" t="s">
        <v>3562</v>
      </c>
      <c r="G886" t="s">
        <v>6120</v>
      </c>
    </row>
    <row r="887" customHeight="1" spans="1:7">
      <c r="A887" t="s">
        <v>16</v>
      </c>
      <c r="B887" t="s">
        <v>6053</v>
      </c>
      <c r="C887" t="s">
        <v>6054</v>
      </c>
      <c r="D887" t="s">
        <v>6121</v>
      </c>
      <c r="E887" t="s">
        <v>6122</v>
      </c>
      <c r="F887" t="s">
        <v>3562</v>
      </c>
      <c r="G887" t="s">
        <v>6123</v>
      </c>
    </row>
    <row r="888" customHeight="1" spans="1:7">
      <c r="A888" t="s">
        <v>16</v>
      </c>
      <c r="B888" t="s">
        <v>6124</v>
      </c>
      <c r="C888" t="s">
        <v>6125</v>
      </c>
      <c r="D888" t="s">
        <v>6126</v>
      </c>
      <c r="E888" t="s">
        <v>6127</v>
      </c>
      <c r="F888" t="s">
        <v>3562</v>
      </c>
      <c r="G888" t="s">
        <v>6128</v>
      </c>
    </row>
    <row r="889" customHeight="1" spans="1:7">
      <c r="A889" t="s">
        <v>16</v>
      </c>
      <c r="B889" t="s">
        <v>6124</v>
      </c>
      <c r="C889" t="s">
        <v>6125</v>
      </c>
      <c r="D889" t="s">
        <v>6129</v>
      </c>
      <c r="E889" t="s">
        <v>6130</v>
      </c>
      <c r="F889" t="s">
        <v>3562</v>
      </c>
      <c r="G889" t="s">
        <v>6131</v>
      </c>
    </row>
    <row r="890" customHeight="1" spans="1:7">
      <c r="A890" t="s">
        <v>16</v>
      </c>
      <c r="B890" t="s">
        <v>6124</v>
      </c>
      <c r="C890" t="s">
        <v>6125</v>
      </c>
      <c r="D890" t="s">
        <v>6132</v>
      </c>
      <c r="E890" t="s">
        <v>6133</v>
      </c>
      <c r="F890" t="s">
        <v>3562</v>
      </c>
      <c r="G890" t="s">
        <v>6134</v>
      </c>
    </row>
    <row r="891" customHeight="1" spans="1:7">
      <c r="A891" t="s">
        <v>16</v>
      </c>
      <c r="B891" t="s">
        <v>6124</v>
      </c>
      <c r="C891" t="s">
        <v>6125</v>
      </c>
      <c r="D891" t="s">
        <v>6135</v>
      </c>
      <c r="E891" t="s">
        <v>6136</v>
      </c>
      <c r="F891" t="s">
        <v>3562</v>
      </c>
      <c r="G891" t="s">
        <v>6137</v>
      </c>
    </row>
    <row r="892" customHeight="1" spans="1:7">
      <c r="A892" t="s">
        <v>16</v>
      </c>
      <c r="B892" t="s">
        <v>6124</v>
      </c>
      <c r="C892" t="s">
        <v>6125</v>
      </c>
      <c r="D892" t="s">
        <v>6138</v>
      </c>
      <c r="E892" t="s">
        <v>6139</v>
      </c>
      <c r="F892" t="s">
        <v>3562</v>
      </c>
      <c r="G892" t="s">
        <v>6140</v>
      </c>
    </row>
    <row r="893" customHeight="1" spans="1:7">
      <c r="A893" t="s">
        <v>16</v>
      </c>
      <c r="B893" t="s">
        <v>6124</v>
      </c>
      <c r="C893" t="s">
        <v>6125</v>
      </c>
      <c r="D893" t="s">
        <v>6141</v>
      </c>
      <c r="E893" t="s">
        <v>6142</v>
      </c>
      <c r="F893" t="s">
        <v>3562</v>
      </c>
      <c r="G893" t="s">
        <v>6143</v>
      </c>
    </row>
    <row r="894" customHeight="1" spans="1:7">
      <c r="A894" t="s">
        <v>16</v>
      </c>
      <c r="B894" t="s">
        <v>6124</v>
      </c>
      <c r="C894" t="s">
        <v>6125</v>
      </c>
      <c r="D894" t="s">
        <v>6144</v>
      </c>
      <c r="E894" t="s">
        <v>6145</v>
      </c>
      <c r="F894" t="s">
        <v>3562</v>
      </c>
      <c r="G894" t="s">
        <v>6146</v>
      </c>
    </row>
    <row r="895" customHeight="1" spans="1:7">
      <c r="A895" t="s">
        <v>16</v>
      </c>
      <c r="B895" t="s">
        <v>6124</v>
      </c>
      <c r="C895" t="s">
        <v>6125</v>
      </c>
      <c r="D895" t="s">
        <v>6147</v>
      </c>
      <c r="E895" t="s">
        <v>6148</v>
      </c>
      <c r="F895" t="s">
        <v>3562</v>
      </c>
      <c r="G895" t="s">
        <v>6149</v>
      </c>
    </row>
    <row r="896" customHeight="1" spans="1:7">
      <c r="A896" t="s">
        <v>16</v>
      </c>
      <c r="B896" t="s">
        <v>6124</v>
      </c>
      <c r="C896" t="s">
        <v>6125</v>
      </c>
      <c r="D896" t="s">
        <v>6150</v>
      </c>
      <c r="E896" t="s">
        <v>6151</v>
      </c>
      <c r="F896" t="s">
        <v>3562</v>
      </c>
      <c r="G896" t="s">
        <v>6152</v>
      </c>
    </row>
    <row r="897" customHeight="1" spans="1:7">
      <c r="A897" t="s">
        <v>16</v>
      </c>
      <c r="B897" t="s">
        <v>6124</v>
      </c>
      <c r="C897" t="s">
        <v>6125</v>
      </c>
      <c r="D897" t="s">
        <v>6153</v>
      </c>
      <c r="E897" t="s">
        <v>6154</v>
      </c>
      <c r="F897" t="s">
        <v>3562</v>
      </c>
      <c r="G897" t="s">
        <v>6155</v>
      </c>
    </row>
    <row r="898" customHeight="1" spans="1:7">
      <c r="A898" t="s">
        <v>16</v>
      </c>
      <c r="B898" t="s">
        <v>6124</v>
      </c>
      <c r="C898" t="s">
        <v>6125</v>
      </c>
      <c r="D898" t="s">
        <v>6124</v>
      </c>
      <c r="E898" t="s">
        <v>6125</v>
      </c>
      <c r="F898" t="s">
        <v>3559</v>
      </c>
      <c r="G898" t="s">
        <v>6156</v>
      </c>
    </row>
    <row r="899" customHeight="1" spans="1:7">
      <c r="A899" t="s">
        <v>16</v>
      </c>
      <c r="B899" t="s">
        <v>6124</v>
      </c>
      <c r="C899" t="s">
        <v>6125</v>
      </c>
      <c r="D899" t="s">
        <v>6157</v>
      </c>
      <c r="E899" t="s">
        <v>6158</v>
      </c>
      <c r="F899" t="s">
        <v>3562</v>
      </c>
      <c r="G899" t="s">
        <v>6159</v>
      </c>
    </row>
    <row r="900" customHeight="1" spans="1:7">
      <c r="A900" t="s">
        <v>16</v>
      </c>
      <c r="B900" t="s">
        <v>6124</v>
      </c>
      <c r="C900" t="s">
        <v>6125</v>
      </c>
      <c r="D900" t="s">
        <v>6160</v>
      </c>
      <c r="E900" t="s">
        <v>6161</v>
      </c>
      <c r="F900" t="s">
        <v>3562</v>
      </c>
      <c r="G900" t="s">
        <v>6162</v>
      </c>
    </row>
    <row r="901" customHeight="1" spans="1:7">
      <c r="A901" t="s">
        <v>16</v>
      </c>
      <c r="B901" t="s">
        <v>6124</v>
      </c>
      <c r="C901" t="s">
        <v>6125</v>
      </c>
      <c r="D901" t="s">
        <v>6163</v>
      </c>
      <c r="E901" t="s">
        <v>6164</v>
      </c>
      <c r="F901" t="s">
        <v>3562</v>
      </c>
      <c r="G901" t="s">
        <v>6165</v>
      </c>
    </row>
    <row r="902" customHeight="1" spans="1:7">
      <c r="A902" t="s">
        <v>16</v>
      </c>
      <c r="B902" t="s">
        <v>6166</v>
      </c>
      <c r="C902" t="s">
        <v>6167</v>
      </c>
      <c r="D902" t="s">
        <v>6168</v>
      </c>
      <c r="E902" t="s">
        <v>6169</v>
      </c>
      <c r="F902" t="s">
        <v>3562</v>
      </c>
      <c r="G902" t="s">
        <v>6170</v>
      </c>
    </row>
    <row r="903" customHeight="1" spans="1:7">
      <c r="A903" t="s">
        <v>16</v>
      </c>
      <c r="B903" t="s">
        <v>6166</v>
      </c>
      <c r="C903" t="s">
        <v>6167</v>
      </c>
      <c r="D903" t="s">
        <v>6171</v>
      </c>
      <c r="E903" t="s">
        <v>6172</v>
      </c>
      <c r="F903" t="s">
        <v>3562</v>
      </c>
      <c r="G903" t="s">
        <v>6173</v>
      </c>
    </row>
    <row r="904" customHeight="1" spans="1:7">
      <c r="A904" t="s">
        <v>16</v>
      </c>
      <c r="B904" t="s">
        <v>6166</v>
      </c>
      <c r="C904" t="s">
        <v>6167</v>
      </c>
      <c r="D904" t="s">
        <v>6174</v>
      </c>
      <c r="E904" t="s">
        <v>6175</v>
      </c>
      <c r="F904" t="s">
        <v>3562</v>
      </c>
      <c r="G904" t="s">
        <v>6176</v>
      </c>
    </row>
    <row r="905" customHeight="1" spans="1:7">
      <c r="A905" t="s">
        <v>16</v>
      </c>
      <c r="B905" t="s">
        <v>6166</v>
      </c>
      <c r="C905" t="s">
        <v>6167</v>
      </c>
      <c r="D905" t="s">
        <v>6177</v>
      </c>
      <c r="E905" t="s">
        <v>6178</v>
      </c>
      <c r="F905" t="s">
        <v>3562</v>
      </c>
      <c r="G905" t="s">
        <v>6179</v>
      </c>
    </row>
    <row r="906" customHeight="1" spans="1:7">
      <c r="A906" t="s">
        <v>16</v>
      </c>
      <c r="B906" t="s">
        <v>6166</v>
      </c>
      <c r="C906" t="s">
        <v>6167</v>
      </c>
      <c r="D906" t="s">
        <v>6180</v>
      </c>
      <c r="E906" t="s">
        <v>6181</v>
      </c>
      <c r="F906" t="s">
        <v>3562</v>
      </c>
      <c r="G906" t="s">
        <v>6182</v>
      </c>
    </row>
    <row r="907" customHeight="1" spans="1:7">
      <c r="A907" t="s">
        <v>16</v>
      </c>
      <c r="B907" t="s">
        <v>6166</v>
      </c>
      <c r="C907" t="s">
        <v>6167</v>
      </c>
      <c r="D907" t="s">
        <v>6183</v>
      </c>
      <c r="E907" t="s">
        <v>6184</v>
      </c>
      <c r="F907" t="s">
        <v>3562</v>
      </c>
      <c r="G907" t="s">
        <v>6185</v>
      </c>
    </row>
    <row r="908" customHeight="1" spans="1:7">
      <c r="A908" t="s">
        <v>16</v>
      </c>
      <c r="B908" t="s">
        <v>6166</v>
      </c>
      <c r="C908" t="s">
        <v>6167</v>
      </c>
      <c r="D908" t="s">
        <v>6186</v>
      </c>
      <c r="E908" t="s">
        <v>6187</v>
      </c>
      <c r="F908" t="s">
        <v>3562</v>
      </c>
      <c r="G908" t="s">
        <v>6188</v>
      </c>
    </row>
    <row r="909" customHeight="1" spans="1:7">
      <c r="A909" t="s">
        <v>16</v>
      </c>
      <c r="B909" t="s">
        <v>6166</v>
      </c>
      <c r="C909" t="s">
        <v>6167</v>
      </c>
      <c r="D909" t="s">
        <v>6189</v>
      </c>
      <c r="E909" t="s">
        <v>6190</v>
      </c>
      <c r="F909" t="s">
        <v>3562</v>
      </c>
      <c r="G909" t="s">
        <v>6191</v>
      </c>
    </row>
    <row r="910" customHeight="1" spans="1:7">
      <c r="A910" t="s">
        <v>16</v>
      </c>
      <c r="B910" t="s">
        <v>6166</v>
      </c>
      <c r="C910" t="s">
        <v>6167</v>
      </c>
      <c r="D910" t="s">
        <v>6192</v>
      </c>
      <c r="E910" t="s">
        <v>6193</v>
      </c>
      <c r="F910" t="s">
        <v>3562</v>
      </c>
      <c r="G910" t="s">
        <v>6194</v>
      </c>
    </row>
    <row r="911" customHeight="1" spans="1:7">
      <c r="A911" t="s">
        <v>16</v>
      </c>
      <c r="B911" t="s">
        <v>6166</v>
      </c>
      <c r="C911" t="s">
        <v>6167</v>
      </c>
      <c r="D911" t="s">
        <v>4642</v>
      </c>
      <c r="E911" t="s">
        <v>6195</v>
      </c>
      <c r="F911" t="s">
        <v>3562</v>
      </c>
      <c r="G911" t="s">
        <v>6196</v>
      </c>
    </row>
    <row r="912" customHeight="1" spans="1:7">
      <c r="A912" t="s">
        <v>16</v>
      </c>
      <c r="B912" t="s">
        <v>6166</v>
      </c>
      <c r="C912" t="s">
        <v>6167</v>
      </c>
      <c r="D912" t="s">
        <v>6197</v>
      </c>
      <c r="E912" t="s">
        <v>6198</v>
      </c>
      <c r="F912" t="s">
        <v>3562</v>
      </c>
      <c r="G912" t="s">
        <v>6199</v>
      </c>
    </row>
    <row r="913" customHeight="1" spans="1:7">
      <c r="A913" t="s">
        <v>16</v>
      </c>
      <c r="B913" t="s">
        <v>6166</v>
      </c>
      <c r="C913" t="s">
        <v>6167</v>
      </c>
      <c r="D913" t="s">
        <v>6200</v>
      </c>
      <c r="E913" t="s">
        <v>6201</v>
      </c>
      <c r="F913" t="s">
        <v>3562</v>
      </c>
      <c r="G913" t="s">
        <v>6202</v>
      </c>
    </row>
    <row r="914" customHeight="1" spans="1:7">
      <c r="A914" t="s">
        <v>16</v>
      </c>
      <c r="B914" t="s">
        <v>6166</v>
      </c>
      <c r="C914" t="s">
        <v>6167</v>
      </c>
      <c r="D914" t="s">
        <v>6203</v>
      </c>
      <c r="E914" t="s">
        <v>6204</v>
      </c>
      <c r="F914" t="s">
        <v>3562</v>
      </c>
      <c r="G914" t="s">
        <v>6205</v>
      </c>
    </row>
    <row r="915" customHeight="1" spans="1:7">
      <c r="A915" t="s">
        <v>16</v>
      </c>
      <c r="B915" t="s">
        <v>6166</v>
      </c>
      <c r="C915" t="s">
        <v>6167</v>
      </c>
      <c r="D915" t="s">
        <v>6206</v>
      </c>
      <c r="E915" t="s">
        <v>6207</v>
      </c>
      <c r="F915" t="s">
        <v>3562</v>
      </c>
      <c r="G915" t="s">
        <v>6208</v>
      </c>
    </row>
    <row r="916" customHeight="1" spans="1:7">
      <c r="A916" t="s">
        <v>16</v>
      </c>
      <c r="B916" t="s">
        <v>6166</v>
      </c>
      <c r="C916" t="s">
        <v>6167</v>
      </c>
      <c r="D916" t="s">
        <v>6209</v>
      </c>
      <c r="E916" t="s">
        <v>6210</v>
      </c>
      <c r="F916" t="s">
        <v>3562</v>
      </c>
      <c r="G916" t="s">
        <v>6211</v>
      </c>
    </row>
    <row r="917" customHeight="1" spans="1:7">
      <c r="A917" t="s">
        <v>16</v>
      </c>
      <c r="B917" t="s">
        <v>6166</v>
      </c>
      <c r="C917" t="s">
        <v>6167</v>
      </c>
      <c r="D917" t="s">
        <v>6212</v>
      </c>
      <c r="E917" t="s">
        <v>6213</v>
      </c>
      <c r="F917" t="s">
        <v>3562</v>
      </c>
      <c r="G917" t="s">
        <v>6214</v>
      </c>
    </row>
    <row r="918" customHeight="1" spans="1:7">
      <c r="A918" t="s">
        <v>16</v>
      </c>
      <c r="B918" t="s">
        <v>6166</v>
      </c>
      <c r="C918" t="s">
        <v>6167</v>
      </c>
      <c r="D918" t="s">
        <v>6166</v>
      </c>
      <c r="E918" t="s">
        <v>6167</v>
      </c>
      <c r="F918" t="s">
        <v>3559</v>
      </c>
      <c r="G918" t="s">
        <v>6215</v>
      </c>
    </row>
    <row r="919" customHeight="1" spans="1:7">
      <c r="A919" t="s">
        <v>16</v>
      </c>
      <c r="B919" t="s">
        <v>6166</v>
      </c>
      <c r="C919" t="s">
        <v>6167</v>
      </c>
      <c r="D919" t="s">
        <v>4100</v>
      </c>
      <c r="E919" t="s">
        <v>6216</v>
      </c>
      <c r="F919" t="s">
        <v>3562</v>
      </c>
      <c r="G919" t="s">
        <v>6217</v>
      </c>
    </row>
    <row r="920" customHeight="1" spans="1:7">
      <c r="A920" t="s">
        <v>16</v>
      </c>
      <c r="B920" t="s">
        <v>6166</v>
      </c>
      <c r="C920" t="s">
        <v>6167</v>
      </c>
      <c r="D920" t="s">
        <v>6218</v>
      </c>
      <c r="E920" t="s">
        <v>6219</v>
      </c>
      <c r="F920" t="s">
        <v>3562</v>
      </c>
      <c r="G920" t="s">
        <v>6220</v>
      </c>
    </row>
    <row r="921" customHeight="1" spans="1:7">
      <c r="A921" t="s">
        <v>16</v>
      </c>
      <c r="B921" t="s">
        <v>6221</v>
      </c>
      <c r="C921" t="s">
        <v>6222</v>
      </c>
      <c r="D921" t="s">
        <v>6223</v>
      </c>
      <c r="E921" t="s">
        <v>6224</v>
      </c>
      <c r="F921" t="s">
        <v>3562</v>
      </c>
      <c r="G921" t="s">
        <v>6225</v>
      </c>
    </row>
    <row r="922" customHeight="1" spans="1:7">
      <c r="A922" t="s">
        <v>16</v>
      </c>
      <c r="B922" t="s">
        <v>6221</v>
      </c>
      <c r="C922" t="s">
        <v>6222</v>
      </c>
      <c r="D922" t="s">
        <v>6226</v>
      </c>
      <c r="E922" t="s">
        <v>6227</v>
      </c>
      <c r="F922" t="s">
        <v>3562</v>
      </c>
      <c r="G922" t="s">
        <v>6228</v>
      </c>
    </row>
    <row r="923" customHeight="1" spans="1:7">
      <c r="A923" t="s">
        <v>16</v>
      </c>
      <c r="B923" t="s">
        <v>6221</v>
      </c>
      <c r="C923" t="s">
        <v>6222</v>
      </c>
      <c r="D923" t="s">
        <v>6229</v>
      </c>
      <c r="E923" t="s">
        <v>6230</v>
      </c>
      <c r="F923" t="s">
        <v>3562</v>
      </c>
      <c r="G923" t="s">
        <v>6231</v>
      </c>
    </row>
    <row r="924" customHeight="1" spans="1:7">
      <c r="A924" t="s">
        <v>16</v>
      </c>
      <c r="B924" t="s">
        <v>6221</v>
      </c>
      <c r="C924" t="s">
        <v>6222</v>
      </c>
      <c r="D924" t="s">
        <v>6232</v>
      </c>
      <c r="E924" t="s">
        <v>6233</v>
      </c>
      <c r="F924" t="s">
        <v>3562</v>
      </c>
      <c r="G924" t="s">
        <v>6234</v>
      </c>
    </row>
    <row r="925" customHeight="1" spans="1:7">
      <c r="A925" t="s">
        <v>16</v>
      </c>
      <c r="B925" t="s">
        <v>6221</v>
      </c>
      <c r="C925" t="s">
        <v>6222</v>
      </c>
      <c r="D925" t="s">
        <v>6235</v>
      </c>
      <c r="E925" t="s">
        <v>6236</v>
      </c>
      <c r="F925" t="s">
        <v>3567</v>
      </c>
      <c r="G925" t="s">
        <v>6237</v>
      </c>
    </row>
    <row r="926" customHeight="1" spans="1:7">
      <c r="A926" t="s">
        <v>16</v>
      </c>
      <c r="B926" t="s">
        <v>6221</v>
      </c>
      <c r="C926" t="s">
        <v>6222</v>
      </c>
      <c r="D926" t="s">
        <v>6238</v>
      </c>
      <c r="E926" t="s">
        <v>6239</v>
      </c>
      <c r="F926" t="s">
        <v>3562</v>
      </c>
      <c r="G926" t="s">
        <v>6240</v>
      </c>
    </row>
    <row r="927" customHeight="1" spans="1:7">
      <c r="A927" t="s">
        <v>16</v>
      </c>
      <c r="B927" t="s">
        <v>6221</v>
      </c>
      <c r="C927" t="s">
        <v>6222</v>
      </c>
      <c r="D927" t="s">
        <v>6241</v>
      </c>
      <c r="E927" t="s">
        <v>6242</v>
      </c>
      <c r="F927" t="s">
        <v>3562</v>
      </c>
      <c r="G927" t="s">
        <v>6243</v>
      </c>
    </row>
    <row r="928" customHeight="1" spans="1:7">
      <c r="A928" t="s">
        <v>16</v>
      </c>
      <c r="B928" t="s">
        <v>6221</v>
      </c>
      <c r="C928" t="s">
        <v>6222</v>
      </c>
      <c r="D928" t="s">
        <v>6244</v>
      </c>
      <c r="E928" t="s">
        <v>6245</v>
      </c>
      <c r="F928" t="s">
        <v>3562</v>
      </c>
      <c r="G928" t="s">
        <v>6246</v>
      </c>
    </row>
    <row r="929" customHeight="1" spans="1:7">
      <c r="A929" t="s">
        <v>16</v>
      </c>
      <c r="B929" t="s">
        <v>6221</v>
      </c>
      <c r="C929" t="s">
        <v>6222</v>
      </c>
      <c r="D929" t="s">
        <v>6247</v>
      </c>
      <c r="E929" t="s">
        <v>6248</v>
      </c>
      <c r="F929" t="s">
        <v>3562</v>
      </c>
      <c r="G929" t="s">
        <v>6249</v>
      </c>
    </row>
    <row r="930" customHeight="1" spans="1:7">
      <c r="A930" t="s">
        <v>16</v>
      </c>
      <c r="B930" t="s">
        <v>6221</v>
      </c>
      <c r="C930" t="s">
        <v>6222</v>
      </c>
      <c r="D930" t="s">
        <v>6250</v>
      </c>
      <c r="E930" t="s">
        <v>6251</v>
      </c>
      <c r="F930" t="s">
        <v>3562</v>
      </c>
      <c r="G930" t="s">
        <v>6252</v>
      </c>
    </row>
    <row r="931" customHeight="1" spans="1:7">
      <c r="A931" t="s">
        <v>16</v>
      </c>
      <c r="B931" t="s">
        <v>6221</v>
      </c>
      <c r="C931" t="s">
        <v>6222</v>
      </c>
      <c r="D931" t="s">
        <v>6253</v>
      </c>
      <c r="E931" t="s">
        <v>6254</v>
      </c>
      <c r="F931" t="s">
        <v>3562</v>
      </c>
      <c r="G931" t="s">
        <v>6255</v>
      </c>
    </row>
    <row r="932" customHeight="1" spans="1:7">
      <c r="A932" t="s">
        <v>16</v>
      </c>
      <c r="B932" t="s">
        <v>6221</v>
      </c>
      <c r="C932" t="s">
        <v>6222</v>
      </c>
      <c r="D932" t="s">
        <v>6256</v>
      </c>
      <c r="E932" t="s">
        <v>6257</v>
      </c>
      <c r="F932" t="s">
        <v>3562</v>
      </c>
      <c r="G932" t="s">
        <v>6258</v>
      </c>
    </row>
    <row r="933" customHeight="1" spans="1:7">
      <c r="A933" t="s">
        <v>16</v>
      </c>
      <c r="B933" t="s">
        <v>6221</v>
      </c>
      <c r="C933" t="s">
        <v>6222</v>
      </c>
      <c r="D933" t="s">
        <v>6259</v>
      </c>
      <c r="E933" t="s">
        <v>6260</v>
      </c>
      <c r="F933" t="s">
        <v>3562</v>
      </c>
      <c r="G933" t="s">
        <v>6261</v>
      </c>
    </row>
    <row r="934" customHeight="1" spans="1:7">
      <c r="A934" t="s">
        <v>16</v>
      </c>
      <c r="B934" t="s">
        <v>6221</v>
      </c>
      <c r="C934" t="s">
        <v>6222</v>
      </c>
      <c r="D934" t="s">
        <v>6262</v>
      </c>
      <c r="E934" t="s">
        <v>6263</v>
      </c>
      <c r="F934" t="s">
        <v>3562</v>
      </c>
      <c r="G934" t="s">
        <v>6264</v>
      </c>
    </row>
    <row r="935" customHeight="1" spans="1:7">
      <c r="A935" t="s">
        <v>16</v>
      </c>
      <c r="B935" t="s">
        <v>6221</v>
      </c>
      <c r="C935" t="s">
        <v>6222</v>
      </c>
      <c r="D935" t="s">
        <v>6265</v>
      </c>
      <c r="E935" t="s">
        <v>6266</v>
      </c>
      <c r="F935" t="s">
        <v>3562</v>
      </c>
      <c r="G935" t="s">
        <v>6267</v>
      </c>
    </row>
    <row r="936" customHeight="1" spans="1:7">
      <c r="A936" t="s">
        <v>16</v>
      </c>
      <c r="B936" t="s">
        <v>6221</v>
      </c>
      <c r="C936" t="s">
        <v>6222</v>
      </c>
      <c r="D936" t="s">
        <v>6268</v>
      </c>
      <c r="E936" t="s">
        <v>6269</v>
      </c>
      <c r="F936" t="s">
        <v>3562</v>
      </c>
      <c r="G936" t="s">
        <v>6270</v>
      </c>
    </row>
    <row r="937" customHeight="1" spans="1:7">
      <c r="A937" t="s">
        <v>16</v>
      </c>
      <c r="B937" t="s">
        <v>6221</v>
      </c>
      <c r="C937" t="s">
        <v>6222</v>
      </c>
      <c r="D937" t="s">
        <v>6271</v>
      </c>
      <c r="E937" t="s">
        <v>6272</v>
      </c>
      <c r="F937" t="s">
        <v>3562</v>
      </c>
      <c r="G937" t="s">
        <v>6273</v>
      </c>
    </row>
    <row r="938" customHeight="1" spans="1:7">
      <c r="A938" t="s">
        <v>16</v>
      </c>
      <c r="B938" t="s">
        <v>6221</v>
      </c>
      <c r="C938" t="s">
        <v>6222</v>
      </c>
      <c r="D938" t="s">
        <v>6274</v>
      </c>
      <c r="E938" t="s">
        <v>6275</v>
      </c>
      <c r="F938" t="s">
        <v>3562</v>
      </c>
      <c r="G938" t="s">
        <v>6276</v>
      </c>
    </row>
    <row r="939" customHeight="1" spans="1:7">
      <c r="A939" t="s">
        <v>16</v>
      </c>
      <c r="B939" t="s">
        <v>6221</v>
      </c>
      <c r="C939" t="s">
        <v>6222</v>
      </c>
      <c r="D939" t="s">
        <v>6277</v>
      </c>
      <c r="E939" t="s">
        <v>6278</v>
      </c>
      <c r="F939" t="s">
        <v>3562</v>
      </c>
      <c r="G939" t="s">
        <v>6279</v>
      </c>
    </row>
    <row r="940" customHeight="1" spans="1:7">
      <c r="A940" t="s">
        <v>16</v>
      </c>
      <c r="B940" t="s">
        <v>6221</v>
      </c>
      <c r="C940" t="s">
        <v>6222</v>
      </c>
      <c r="D940" t="s">
        <v>6280</v>
      </c>
      <c r="E940" t="s">
        <v>6281</v>
      </c>
      <c r="F940" t="s">
        <v>3562</v>
      </c>
      <c r="G940" t="s">
        <v>6282</v>
      </c>
    </row>
    <row r="941" customHeight="1" spans="1:7">
      <c r="A941" t="s">
        <v>16</v>
      </c>
      <c r="B941" t="s">
        <v>6221</v>
      </c>
      <c r="C941" t="s">
        <v>6222</v>
      </c>
      <c r="D941" t="s">
        <v>6283</v>
      </c>
      <c r="E941" t="s">
        <v>6284</v>
      </c>
      <c r="F941" t="s">
        <v>3562</v>
      </c>
      <c r="G941" t="s">
        <v>6285</v>
      </c>
    </row>
    <row r="942" customHeight="1" spans="1:7">
      <c r="A942" t="s">
        <v>16</v>
      </c>
      <c r="B942" t="s">
        <v>6221</v>
      </c>
      <c r="C942" t="s">
        <v>6222</v>
      </c>
      <c r="D942" t="s">
        <v>6221</v>
      </c>
      <c r="E942" t="s">
        <v>6222</v>
      </c>
      <c r="F942" t="s">
        <v>3559</v>
      </c>
      <c r="G942" t="s">
        <v>6286</v>
      </c>
    </row>
    <row r="943" customHeight="1" spans="1:7">
      <c r="A943" t="s">
        <v>16</v>
      </c>
      <c r="B943" t="s">
        <v>6221</v>
      </c>
      <c r="C943" t="s">
        <v>6222</v>
      </c>
      <c r="D943" t="s">
        <v>6287</v>
      </c>
      <c r="E943" t="s">
        <v>6288</v>
      </c>
      <c r="F943" t="s">
        <v>3562</v>
      </c>
      <c r="G943" t="s">
        <v>6289</v>
      </c>
    </row>
    <row r="944" customHeight="1" spans="1:7">
      <c r="A944" t="s">
        <v>16</v>
      </c>
      <c r="B944" t="s">
        <v>6221</v>
      </c>
      <c r="C944" t="s">
        <v>6222</v>
      </c>
      <c r="D944" t="s">
        <v>6290</v>
      </c>
      <c r="E944" t="s">
        <v>6291</v>
      </c>
      <c r="F944" t="s">
        <v>3562</v>
      </c>
      <c r="G944" t="s">
        <v>6292</v>
      </c>
    </row>
    <row r="945" customHeight="1" spans="1:7">
      <c r="A945" t="s">
        <v>16</v>
      </c>
      <c r="B945" t="s">
        <v>6221</v>
      </c>
      <c r="C945" t="s">
        <v>6222</v>
      </c>
      <c r="D945" t="s">
        <v>6293</v>
      </c>
      <c r="E945" t="s">
        <v>6294</v>
      </c>
      <c r="F945" t="s">
        <v>3562</v>
      </c>
      <c r="G945" t="s">
        <v>6295</v>
      </c>
    </row>
    <row r="946" customHeight="1" spans="1:7">
      <c r="A946" t="s">
        <v>16</v>
      </c>
      <c r="B946" t="s">
        <v>6296</v>
      </c>
      <c r="C946" t="s">
        <v>6297</v>
      </c>
      <c r="D946" t="s">
        <v>6298</v>
      </c>
      <c r="E946" t="s">
        <v>6299</v>
      </c>
      <c r="F946" t="s">
        <v>3562</v>
      </c>
      <c r="G946" t="s">
        <v>6300</v>
      </c>
    </row>
    <row r="947" customHeight="1" spans="1:7">
      <c r="A947" t="s">
        <v>16</v>
      </c>
      <c r="B947" t="s">
        <v>6296</v>
      </c>
      <c r="C947" t="s">
        <v>6297</v>
      </c>
      <c r="D947" t="s">
        <v>4309</v>
      </c>
      <c r="E947" t="s">
        <v>6301</v>
      </c>
      <c r="F947" t="s">
        <v>3562</v>
      </c>
      <c r="G947" t="s">
        <v>6302</v>
      </c>
    </row>
    <row r="948" customHeight="1" spans="1:7">
      <c r="A948" t="s">
        <v>16</v>
      </c>
      <c r="B948" t="s">
        <v>6296</v>
      </c>
      <c r="C948" t="s">
        <v>6297</v>
      </c>
      <c r="D948" t="s">
        <v>6303</v>
      </c>
      <c r="E948" t="s">
        <v>6304</v>
      </c>
      <c r="F948" t="s">
        <v>3562</v>
      </c>
      <c r="G948" t="s">
        <v>6305</v>
      </c>
    </row>
    <row r="949" customHeight="1" spans="1:7">
      <c r="A949" t="s">
        <v>16</v>
      </c>
      <c r="B949" t="s">
        <v>6296</v>
      </c>
      <c r="C949" t="s">
        <v>6297</v>
      </c>
      <c r="D949" t="s">
        <v>6306</v>
      </c>
      <c r="E949" t="s">
        <v>6307</v>
      </c>
      <c r="F949" t="s">
        <v>3562</v>
      </c>
      <c r="G949" t="s">
        <v>6308</v>
      </c>
    </row>
    <row r="950" customHeight="1" spans="1:7">
      <c r="A950" t="s">
        <v>16</v>
      </c>
      <c r="B950" t="s">
        <v>6296</v>
      </c>
      <c r="C950" t="s">
        <v>6297</v>
      </c>
      <c r="D950" t="s">
        <v>6309</v>
      </c>
      <c r="E950" t="s">
        <v>6310</v>
      </c>
      <c r="F950" t="s">
        <v>3562</v>
      </c>
      <c r="G950" t="s">
        <v>6311</v>
      </c>
    </row>
    <row r="951" customHeight="1" spans="1:7">
      <c r="A951" t="s">
        <v>16</v>
      </c>
      <c r="B951" t="s">
        <v>6296</v>
      </c>
      <c r="C951" t="s">
        <v>6297</v>
      </c>
      <c r="D951" t="s">
        <v>6312</v>
      </c>
      <c r="E951" t="s">
        <v>6313</v>
      </c>
      <c r="F951" t="s">
        <v>3562</v>
      </c>
      <c r="G951" t="s">
        <v>6314</v>
      </c>
    </row>
    <row r="952" customHeight="1" spans="1:7">
      <c r="A952" t="s">
        <v>16</v>
      </c>
      <c r="B952" t="s">
        <v>6296</v>
      </c>
      <c r="C952" t="s">
        <v>6297</v>
      </c>
      <c r="D952" t="s">
        <v>6315</v>
      </c>
      <c r="E952" t="s">
        <v>6316</v>
      </c>
      <c r="F952" t="s">
        <v>3562</v>
      </c>
      <c r="G952" t="s">
        <v>6317</v>
      </c>
    </row>
    <row r="953" customHeight="1" spans="1:7">
      <c r="A953" t="s">
        <v>16</v>
      </c>
      <c r="B953" t="s">
        <v>6296</v>
      </c>
      <c r="C953" t="s">
        <v>6297</v>
      </c>
      <c r="D953" t="s">
        <v>6318</v>
      </c>
      <c r="E953" t="s">
        <v>6319</v>
      </c>
      <c r="F953" t="s">
        <v>3562</v>
      </c>
      <c r="G953" t="s">
        <v>6320</v>
      </c>
    </row>
    <row r="954" customHeight="1" spans="1:7">
      <c r="A954" t="s">
        <v>16</v>
      </c>
      <c r="B954" t="s">
        <v>6296</v>
      </c>
      <c r="C954" t="s">
        <v>6297</v>
      </c>
      <c r="D954" t="s">
        <v>6321</v>
      </c>
      <c r="E954" t="s">
        <v>6322</v>
      </c>
      <c r="F954" t="s">
        <v>3562</v>
      </c>
      <c r="G954" t="s">
        <v>6323</v>
      </c>
    </row>
    <row r="955" customHeight="1" spans="1:7">
      <c r="A955" t="s">
        <v>16</v>
      </c>
      <c r="B955" t="s">
        <v>6296</v>
      </c>
      <c r="C955" t="s">
        <v>6297</v>
      </c>
      <c r="D955" t="s">
        <v>6296</v>
      </c>
      <c r="E955" t="s">
        <v>6297</v>
      </c>
      <c r="F955" t="s">
        <v>3559</v>
      </c>
      <c r="G955" t="s">
        <v>6324</v>
      </c>
    </row>
    <row r="956" customHeight="1" spans="1:7">
      <c r="A956" t="s">
        <v>16</v>
      </c>
      <c r="B956" t="s">
        <v>6296</v>
      </c>
      <c r="C956" t="s">
        <v>6297</v>
      </c>
      <c r="D956" t="s">
        <v>6325</v>
      </c>
      <c r="E956" t="s">
        <v>6326</v>
      </c>
      <c r="F956" t="s">
        <v>3562</v>
      </c>
      <c r="G956" t="s">
        <v>6327</v>
      </c>
    </row>
    <row r="957" customHeight="1" spans="1:7">
      <c r="A957" t="s">
        <v>16</v>
      </c>
      <c r="B957" t="s">
        <v>6296</v>
      </c>
      <c r="C957" t="s">
        <v>6297</v>
      </c>
      <c r="D957" t="s">
        <v>6328</v>
      </c>
      <c r="E957" t="s">
        <v>6329</v>
      </c>
      <c r="F957" t="s">
        <v>3664</v>
      </c>
      <c r="G957" t="s">
        <v>6330</v>
      </c>
    </row>
  </sheetData>
  <sheetProtection insertRows="0" deleteColumns="0" deleteRows="0" sort="0" autoFilter="0"/>
  <pageMargins left="0.7" right="0.7" top="0.75" bottom="0.75" header="0.3" footer="0.3"/>
  <pageSetup paperSize="1" orientation="portrait"/>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C3"/>
  <sheetViews>
    <sheetView showGridLines="0" workbookViewId="0">
      <selection activeCell="A1" sqref="A1"/>
    </sheetView>
  </sheetViews>
  <sheetFormatPr defaultColWidth="9.14285714285714" defaultRowHeight="11.25" customHeight="1" outlineLevelRow="2" outlineLevelCol="2"/>
  <cols>
    <col min="1" max="1" width="9.14285714285714" style="4"/>
    <col min="2" max="2" width="84.2857142857143" style="4" customWidth="1"/>
    <col min="3" max="3" width="9.14285714285714" style="4"/>
  </cols>
  <sheetData>
    <row r="1" customHeight="1" spans="1:3">
      <c r="A1" s="4" t="s">
        <v>6397</v>
      </c>
      <c r="B1" s="4" t="s">
        <v>6398</v>
      </c>
      <c r="C1" s="4" t="s">
        <v>1186</v>
      </c>
    </row>
    <row r="2" customHeight="1" spans="1:3">
      <c r="A2" s="4">
        <v>4189678</v>
      </c>
      <c r="B2" s="4" t="s">
        <v>6399</v>
      </c>
      <c r="C2" s="4" t="s">
        <v>6400</v>
      </c>
    </row>
    <row r="3" customHeight="1" spans="1:3">
      <c r="A3" s="4">
        <v>4190415</v>
      </c>
      <c r="B3" s="4" t="s">
        <v>6401</v>
      </c>
      <c r="C3" s="4" t="s">
        <v>6400</v>
      </c>
    </row>
  </sheetData>
  <sheetProtection insertRows="0" deleteColumns="0" deleteRows="0" sort="0" autoFilter="0"/>
  <pageMargins left="0.7" right="0.7" top="0.75" bottom="0.75" header="0.3" footer="0.3"/>
  <pageSetup paperSize="1" orientation="portrait"/>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E8"/>
  <sheetViews>
    <sheetView showGridLines="0" workbookViewId="0">
      <selection activeCell="A1" sqref="A1"/>
    </sheetView>
  </sheetViews>
  <sheetFormatPr defaultColWidth="9.14285714285714" defaultRowHeight="15" customHeight="1" outlineLevelRow="7" outlineLevelCol="4"/>
  <cols>
    <col min="1" max="1" width="38.4190476190476" style="14" customWidth="1"/>
    <col min="2" max="5" width="9.14285714285714" style="14"/>
  </cols>
  <sheetData>
    <row r="1" customHeight="1" spans="1:5">
      <c r="A1" s="15" t="s">
        <v>6402</v>
      </c>
      <c r="B1" s="15" t="s">
        <v>6403</v>
      </c>
      <c r="C1" s="15"/>
      <c r="D1" s="15"/>
      <c r="E1" s="15"/>
    </row>
    <row r="2" customHeight="1" spans="1:5">
      <c r="A2" s="15"/>
      <c r="B2" s="15"/>
      <c r="C2" s="15"/>
      <c r="D2" s="15"/>
      <c r="E2" s="15"/>
    </row>
    <row r="3" customHeight="1" spans="1:5">
      <c r="A3" s="15"/>
      <c r="B3" s="15"/>
      <c r="C3" s="15"/>
      <c r="D3" s="15"/>
      <c r="E3" s="15"/>
    </row>
    <row r="4" customHeight="1" spans="1:5">
      <c r="A4" s="15"/>
      <c r="B4" s="15"/>
      <c r="C4" s="15"/>
      <c r="D4" s="15"/>
      <c r="E4" s="15"/>
    </row>
    <row r="5" customHeight="1" spans="1:5">
      <c r="A5" s="15"/>
      <c r="B5" s="15"/>
      <c r="C5" s="15"/>
      <c r="D5" s="15"/>
      <c r="E5" s="15"/>
    </row>
    <row r="6" customHeight="1" spans="1:5">
      <c r="A6" s="15"/>
      <c r="B6" s="15"/>
      <c r="C6" s="15"/>
      <c r="D6" s="15"/>
      <c r="E6" s="15"/>
    </row>
    <row r="7" customHeight="1" spans="1:5">
      <c r="A7" s="15"/>
      <c r="B7" s="15"/>
      <c r="C7" s="15"/>
      <c r="D7" s="15"/>
      <c r="E7" s="15"/>
    </row>
    <row r="8" customHeight="1" spans="1:5">
      <c r="A8" s="15"/>
      <c r="B8" s="15"/>
      <c r="C8" s="15"/>
      <c r="D8" s="15"/>
      <c r="E8" s="15"/>
    </row>
  </sheetData>
  <sheetProtection formatColumns="0" formatRows="0" insertRows="0" deleteColumns="0" deleteRows="0" sort="0" autoFilter="0"/>
  <pageMargins left="0.7" right="0.7" top="0.75" bottom="0.75" header="0.3" footer="0.3"/>
  <pageSetup paperSize="1" orientation="portrait"/>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15"/>
  <sheetViews>
    <sheetView workbookViewId="0">
      <selection activeCell="A1" sqref="A1"/>
    </sheetView>
  </sheetViews>
  <sheetFormatPr defaultColWidth="9" defaultRowHeight="11.25" customHeight="1" outlineLevelCol="1"/>
  <sheetData>
    <row r="1" customHeight="1" spans="1:2">
      <c r="A1" t="s">
        <v>6404</v>
      </c>
      <c r="B1" t="b">
        <v>1</v>
      </c>
    </row>
    <row r="2" customHeight="1" spans="1:2">
      <c r="A2" t="s">
        <v>6405</v>
      </c>
      <c r="B2" t="b">
        <v>0</v>
      </c>
    </row>
    <row r="3" customHeight="1" spans="1:2">
      <c r="A3" t="s">
        <v>6406</v>
      </c>
      <c r="B3" t="b">
        <v>0</v>
      </c>
    </row>
    <row r="4" customHeight="1" spans="1:2">
      <c r="A4" t="s">
        <v>6407</v>
      </c>
      <c r="B4" t="b">
        <v>1</v>
      </c>
    </row>
    <row r="5" customHeight="1" spans="1:2">
      <c r="A5" t="s">
        <v>6408</v>
      </c>
      <c r="B5" t="b">
        <v>0</v>
      </c>
    </row>
    <row r="6" customHeight="1" spans="1:2">
      <c r="A6" t="s">
        <v>6409</v>
      </c>
      <c r="B6" t="b">
        <v>0</v>
      </c>
    </row>
    <row r="7" customHeight="1" spans="1:2">
      <c r="A7" t="s">
        <v>6410</v>
      </c>
      <c r="B7" t="b">
        <v>0</v>
      </c>
    </row>
    <row r="8" customHeight="1" spans="1:2">
      <c r="A8" t="s">
        <v>6411</v>
      </c>
      <c r="B8" t="b">
        <v>0</v>
      </c>
    </row>
    <row r="9" customHeight="1" spans="1:2">
      <c r="A9" t="s">
        <v>6412</v>
      </c>
      <c r="B9" t="b">
        <v>1</v>
      </c>
    </row>
    <row r="10" customHeight="1" spans="1:2">
      <c r="A10" t="s">
        <v>6413</v>
      </c>
      <c r="B10" t="b">
        <v>0</v>
      </c>
    </row>
    <row r="11" customHeight="1" spans="1:2">
      <c r="A11" t="s">
        <v>6414</v>
      </c>
      <c r="B11" t="b">
        <v>0</v>
      </c>
    </row>
    <row r="12" customHeight="1" spans="1:2">
      <c r="A12" t="s">
        <v>6415</v>
      </c>
      <c r="B12" t="b">
        <v>0</v>
      </c>
    </row>
    <row r="13" customHeight="1" spans="1:2">
      <c r="A13" t="s">
        <v>6416</v>
      </c>
      <c r="B13" t="b">
        <v>0</v>
      </c>
    </row>
    <row r="14" customHeight="1" spans="1:2">
      <c r="A14" t="s">
        <v>6417</v>
      </c>
      <c r="B14" t="b">
        <v>0</v>
      </c>
    </row>
    <row r="15" customHeight="1" spans="1:2">
      <c r="A15" t="s">
        <v>6418</v>
      </c>
      <c r="B15" t="b">
        <v>1</v>
      </c>
    </row>
  </sheetData>
  <sheetProtection insertRows="0" deleteColumns="0" deleteRows="0" sort="0" autoFilter="0"/>
  <pageMargins left="0.7" right="0.7" top="0.75" bottom="0.75" header="0.3" footer="0.3"/>
  <pageSetup paperSize="1" orientation="portrait"/>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
  <sheetViews>
    <sheetView showGridLines="0" workbookViewId="0">
      <selection activeCell="A1" sqref="A1"/>
    </sheetView>
  </sheetViews>
  <sheetFormatPr defaultColWidth="9.14285714285714" defaultRowHeight="12.75" customHeight="1"/>
  <cols>
    <col min="1" max="1" width="9.14285714285714" style="13"/>
  </cols>
  <sheetData/>
  <sheetProtection insertRows="0" deleteColumns="0" deleteRows="0" sort="0" autoFilter="0"/>
  <pageMargins left="0.75" right="0.75" top="1" bottom="1" header="0.5" footer="0.5"/>
  <pageSetup paperSize="1" orientation="portrait"/>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B253"/>
  <sheetViews>
    <sheetView showGridLines="0" workbookViewId="0">
      <selection activeCell="A1" sqref="A1"/>
    </sheetView>
  </sheetViews>
  <sheetFormatPr defaultColWidth="9.14285714285714" defaultRowHeight="11.25" customHeight="1" outlineLevelCol="1"/>
  <cols>
    <col min="1" max="1" width="36.2857142857143" customWidth="1"/>
    <col min="2" max="2" width="21.1428571428571" customWidth="1"/>
  </cols>
  <sheetData>
    <row r="1" customHeight="1" spans="1:2">
      <c r="A1" s="11" t="s">
        <v>6419</v>
      </c>
      <c r="B1" s="11" t="s">
        <v>6420</v>
      </c>
    </row>
    <row r="2" customHeight="1" spans="1:2">
      <c r="A2" s="12" t="s">
        <v>6421</v>
      </c>
      <c r="B2" s="12" t="s">
        <v>6422</v>
      </c>
    </row>
    <row r="3" customHeight="1" spans="1:2">
      <c r="A3" s="12" t="s">
        <v>6423</v>
      </c>
      <c r="B3" s="12" t="s">
        <v>6424</v>
      </c>
    </row>
    <row r="4" customHeight="1" spans="1:2">
      <c r="A4" s="12" t="s">
        <v>6425</v>
      </c>
      <c r="B4" s="12" t="s">
        <v>6426</v>
      </c>
    </row>
    <row r="5" customHeight="1" spans="1:2">
      <c r="A5" s="12" t="s">
        <v>6427</v>
      </c>
      <c r="B5" s="12" t="s">
        <v>6428</v>
      </c>
    </row>
    <row r="6" customHeight="1" spans="1:2">
      <c r="A6" s="12" t="s">
        <v>6429</v>
      </c>
      <c r="B6" s="12" t="s">
        <v>6430</v>
      </c>
    </row>
    <row r="7" customHeight="1" spans="1:2">
      <c r="A7" s="12" t="s">
        <v>6431</v>
      </c>
      <c r="B7" s="12" t="s">
        <v>6432</v>
      </c>
    </row>
    <row r="8" customHeight="1" spans="1:2">
      <c r="A8" s="12" t="s">
        <v>6433</v>
      </c>
      <c r="B8" s="12" t="s">
        <v>6434</v>
      </c>
    </row>
    <row r="9" customHeight="1" spans="1:2">
      <c r="A9" s="12" t="s">
        <v>6435</v>
      </c>
      <c r="B9" s="12" t="s">
        <v>6436</v>
      </c>
    </row>
    <row r="10" customHeight="1" spans="1:2">
      <c r="A10" s="12" t="s">
        <v>6437</v>
      </c>
      <c r="B10" s="12" t="s">
        <v>6438</v>
      </c>
    </row>
    <row r="11" customHeight="1" spans="1:2">
      <c r="A11" s="12" t="s">
        <v>6439</v>
      </c>
      <c r="B11" s="12" t="s">
        <v>6440</v>
      </c>
    </row>
    <row r="12" customHeight="1" spans="1:2">
      <c r="A12" s="12" t="s">
        <v>6441</v>
      </c>
      <c r="B12" s="12" t="s">
        <v>6442</v>
      </c>
    </row>
    <row r="13" customHeight="1" spans="1:2">
      <c r="A13" s="12" t="s">
        <v>6443</v>
      </c>
      <c r="B13" s="12" t="s">
        <v>6444</v>
      </c>
    </row>
    <row r="14" customHeight="1" spans="1:2">
      <c r="A14" s="12" t="s">
        <v>6445</v>
      </c>
      <c r="B14" s="12" t="s">
        <v>6446</v>
      </c>
    </row>
    <row r="15" customHeight="1" spans="1:2">
      <c r="A15" s="12" t="s">
        <v>6447</v>
      </c>
      <c r="B15" s="12" t="s">
        <v>6448</v>
      </c>
    </row>
    <row r="16" customHeight="1" spans="1:2">
      <c r="A16" s="12" t="s">
        <v>6449</v>
      </c>
      <c r="B16" s="12" t="s">
        <v>6450</v>
      </c>
    </row>
    <row r="17" customHeight="1" spans="1:2">
      <c r="A17" s="12" t="s">
        <v>6451</v>
      </c>
      <c r="B17" s="12" t="s">
        <v>6452</v>
      </c>
    </row>
    <row r="18" customHeight="1" spans="1:2">
      <c r="A18" s="12" t="s">
        <v>6453</v>
      </c>
      <c r="B18" s="12" t="s">
        <v>6454</v>
      </c>
    </row>
    <row r="19" customHeight="1" spans="1:2">
      <c r="A19" s="12" t="s">
        <v>6455</v>
      </c>
      <c r="B19" s="12" t="s">
        <v>6456</v>
      </c>
    </row>
    <row r="20" customHeight="1" spans="1:2">
      <c r="A20" s="12" t="s">
        <v>6457</v>
      </c>
      <c r="B20" s="12" t="s">
        <v>6458</v>
      </c>
    </row>
    <row r="21" customHeight="1" spans="1:2">
      <c r="A21" s="12" t="s">
        <v>6459</v>
      </c>
      <c r="B21" s="12" t="s">
        <v>6460</v>
      </c>
    </row>
    <row r="22" customHeight="1" spans="1:2">
      <c r="A22" s="12" t="s">
        <v>6461</v>
      </c>
      <c r="B22" s="12" t="s">
        <v>6462</v>
      </c>
    </row>
    <row r="23" customHeight="1" spans="1:2">
      <c r="A23" s="12" t="s">
        <v>6463</v>
      </c>
      <c r="B23" s="12" t="s">
        <v>6464</v>
      </c>
    </row>
    <row r="24" customHeight="1" spans="1:2">
      <c r="A24" s="12" t="s">
        <v>6465</v>
      </c>
      <c r="B24" s="12" t="s">
        <v>6466</v>
      </c>
    </row>
    <row r="25" customHeight="1" spans="1:2">
      <c r="A25" s="12" t="s">
        <v>6467</v>
      </c>
      <c r="B25" s="12" t="s">
        <v>6468</v>
      </c>
    </row>
    <row r="26" customHeight="1" spans="1:2">
      <c r="A26" s="12" t="s">
        <v>6469</v>
      </c>
      <c r="B26" s="12" t="s">
        <v>6470</v>
      </c>
    </row>
    <row r="27" customHeight="1" spans="1:2">
      <c r="A27" s="12" t="s">
        <v>6471</v>
      </c>
      <c r="B27" s="12" t="s">
        <v>6472</v>
      </c>
    </row>
    <row r="28" customHeight="1" spans="1:2">
      <c r="A28" s="12" t="s">
        <v>6473</v>
      </c>
      <c r="B28" s="12" t="s">
        <v>6474</v>
      </c>
    </row>
    <row r="29" customHeight="1" spans="1:2">
      <c r="A29" s="12" t="s">
        <v>6475</v>
      </c>
      <c r="B29" s="12" t="s">
        <v>6476</v>
      </c>
    </row>
    <row r="30" customHeight="1" spans="1:2">
      <c r="A30" s="12" t="s">
        <v>6477</v>
      </c>
      <c r="B30" s="12" t="s">
        <v>6478</v>
      </c>
    </row>
    <row r="31" customHeight="1" spans="1:2">
      <c r="A31" s="12" t="s">
        <v>6479</v>
      </c>
      <c r="B31" s="12" t="s">
        <v>6480</v>
      </c>
    </row>
    <row r="32" customHeight="1" spans="1:2">
      <c r="A32" s="12" t="s">
        <v>6481</v>
      </c>
      <c r="B32" s="12" t="s">
        <v>6482</v>
      </c>
    </row>
    <row r="33" customHeight="1" spans="1:2">
      <c r="A33" s="12" t="s">
        <v>6483</v>
      </c>
      <c r="B33" s="12" t="s">
        <v>6484</v>
      </c>
    </row>
    <row r="34" customHeight="1" spans="1:2">
      <c r="A34" s="12" t="s">
        <v>6485</v>
      </c>
      <c r="B34" s="12" t="s">
        <v>6486</v>
      </c>
    </row>
    <row r="35" customHeight="1" spans="1:2">
      <c r="A35" s="12" t="s">
        <v>6487</v>
      </c>
      <c r="B35" s="12" t="s">
        <v>6488</v>
      </c>
    </row>
    <row r="36" customHeight="1" spans="1:2">
      <c r="A36" s="12" t="s">
        <v>6489</v>
      </c>
      <c r="B36" s="12" t="s">
        <v>6490</v>
      </c>
    </row>
    <row r="37" customHeight="1" spans="1:2">
      <c r="A37" s="12" t="s">
        <v>6491</v>
      </c>
      <c r="B37" s="12" t="s">
        <v>6492</v>
      </c>
    </row>
    <row r="38" customHeight="1" spans="1:2">
      <c r="A38" s="12" t="s">
        <v>6493</v>
      </c>
      <c r="B38" s="12" t="s">
        <v>6494</v>
      </c>
    </row>
    <row r="39" customHeight="1" spans="1:2">
      <c r="A39" s="12" t="s">
        <v>6495</v>
      </c>
      <c r="B39" s="12" t="s">
        <v>6496</v>
      </c>
    </row>
    <row r="40" customHeight="1" spans="1:2">
      <c r="A40" s="12" t="s">
        <v>6497</v>
      </c>
      <c r="B40" s="12" t="s">
        <v>6498</v>
      </c>
    </row>
    <row r="41" customHeight="1" spans="1:2">
      <c r="A41" s="12" t="s">
        <v>6499</v>
      </c>
      <c r="B41" s="12" t="s">
        <v>6500</v>
      </c>
    </row>
    <row r="42" customHeight="1" spans="1:2">
      <c r="A42" s="12" t="s">
        <v>6501</v>
      </c>
      <c r="B42" s="12" t="s">
        <v>6502</v>
      </c>
    </row>
    <row r="43" customHeight="1" spans="1:2">
      <c r="A43" s="12" t="s">
        <v>6503</v>
      </c>
      <c r="B43" s="12" t="s">
        <v>6504</v>
      </c>
    </row>
    <row r="44" customHeight="1" spans="1:2">
      <c r="A44" s="12" t="s">
        <v>6505</v>
      </c>
      <c r="B44" s="12" t="s">
        <v>6506</v>
      </c>
    </row>
    <row r="45" customHeight="1" spans="1:2">
      <c r="A45" s="12" t="s">
        <v>6507</v>
      </c>
      <c r="B45" s="12" t="s">
        <v>6508</v>
      </c>
    </row>
    <row r="46" customHeight="1" spans="1:2">
      <c r="A46" s="12" t="s">
        <v>6509</v>
      </c>
      <c r="B46" s="12" t="s">
        <v>6510</v>
      </c>
    </row>
    <row r="47" customHeight="1" spans="1:2">
      <c r="A47" s="12" t="s">
        <v>6511</v>
      </c>
      <c r="B47" s="12" t="s">
        <v>6512</v>
      </c>
    </row>
    <row r="48" customHeight="1" spans="1:2">
      <c r="A48" s="12" t="s">
        <v>6513</v>
      </c>
      <c r="B48" s="12" t="s">
        <v>6514</v>
      </c>
    </row>
    <row r="49" customHeight="1" spans="1:2">
      <c r="A49" s="12" t="s">
        <v>6515</v>
      </c>
      <c r="B49" s="12" t="s">
        <v>6516</v>
      </c>
    </row>
    <row r="50" customHeight="1" spans="1:2">
      <c r="A50" s="12" t="s">
        <v>6517</v>
      </c>
      <c r="B50" s="12" t="s">
        <v>6518</v>
      </c>
    </row>
    <row r="51" customHeight="1" spans="1:2">
      <c r="A51" s="12" t="s">
        <v>6519</v>
      </c>
      <c r="B51" s="12" t="s">
        <v>6520</v>
      </c>
    </row>
    <row r="52" customHeight="1" spans="1:2">
      <c r="A52" s="12" t="s">
        <v>6521</v>
      </c>
      <c r="B52" s="12" t="s">
        <v>6522</v>
      </c>
    </row>
    <row r="53" customHeight="1" spans="1:2">
      <c r="A53" s="12" t="s">
        <v>6523</v>
      </c>
      <c r="B53" s="12" t="s">
        <v>6524</v>
      </c>
    </row>
    <row r="54" customHeight="1" spans="1:2">
      <c r="A54" s="12" t="s">
        <v>6525</v>
      </c>
      <c r="B54" s="12" t="s">
        <v>6526</v>
      </c>
    </row>
    <row r="55" customHeight="1" spans="1:2">
      <c r="A55" s="12" t="s">
        <v>6527</v>
      </c>
      <c r="B55" s="12" t="s">
        <v>6528</v>
      </c>
    </row>
    <row r="56" customHeight="1" spans="1:2">
      <c r="A56" s="12" t="s">
        <v>6529</v>
      </c>
      <c r="B56" s="12" t="s">
        <v>6530</v>
      </c>
    </row>
    <row r="57" customHeight="1" spans="1:2">
      <c r="A57" s="12" t="s">
        <v>6531</v>
      </c>
      <c r="B57" s="12" t="s">
        <v>6532</v>
      </c>
    </row>
    <row r="58" customHeight="1" spans="1:2">
      <c r="A58" s="12" t="s">
        <v>6533</v>
      </c>
      <c r="B58" s="12" t="s">
        <v>6534</v>
      </c>
    </row>
    <row r="59" customHeight="1" spans="1:2">
      <c r="A59" s="12" t="s">
        <v>6535</v>
      </c>
      <c r="B59" s="12" t="s">
        <v>6536</v>
      </c>
    </row>
    <row r="60" customHeight="1" spans="1:2">
      <c r="A60" s="12" t="s">
        <v>6537</v>
      </c>
      <c r="B60" s="12" t="s">
        <v>6538</v>
      </c>
    </row>
    <row r="61" customHeight="1" spans="1:2">
      <c r="A61" s="12"/>
      <c r="B61" s="12" t="s">
        <v>6539</v>
      </c>
    </row>
    <row r="62" customHeight="1" spans="1:2">
      <c r="A62" s="12"/>
      <c r="B62" s="12" t="s">
        <v>6540</v>
      </c>
    </row>
    <row r="63" customHeight="1" spans="1:2">
      <c r="A63" s="12"/>
      <c r="B63" s="12" t="s">
        <v>6541</v>
      </c>
    </row>
    <row r="64" customHeight="1" spans="1:2">
      <c r="A64" s="12"/>
      <c r="B64" s="12" t="s">
        <v>6542</v>
      </c>
    </row>
    <row r="65" customHeight="1" spans="1:2">
      <c r="A65" s="12"/>
      <c r="B65" s="12" t="s">
        <v>6543</v>
      </c>
    </row>
    <row r="66" customHeight="1" spans="1:2">
      <c r="A66" s="12"/>
      <c r="B66" s="12" t="s">
        <v>6544</v>
      </c>
    </row>
    <row r="67" customHeight="1" spans="1:2">
      <c r="A67" s="12"/>
      <c r="B67" s="12" t="s">
        <v>6545</v>
      </c>
    </row>
    <row r="68" customHeight="1" spans="1:2">
      <c r="A68" s="12"/>
      <c r="B68" s="12" t="s">
        <v>6546</v>
      </c>
    </row>
    <row r="69" customHeight="1" spans="1:2">
      <c r="A69" s="12"/>
      <c r="B69" s="12" t="s">
        <v>6547</v>
      </c>
    </row>
    <row r="70" customHeight="1" spans="1:2">
      <c r="A70" s="12"/>
      <c r="B70" s="12" t="s">
        <v>6548</v>
      </c>
    </row>
    <row r="71" customHeight="1" spans="1:2">
      <c r="A71" s="12"/>
      <c r="B71" s="12"/>
    </row>
    <row r="72" customHeight="1" spans="1:2">
      <c r="A72" s="12"/>
      <c r="B72" s="12"/>
    </row>
    <row r="73" customHeight="1" spans="1:2">
      <c r="A73" s="12"/>
      <c r="B73" s="12"/>
    </row>
    <row r="74" customHeight="1" spans="1:2">
      <c r="A74" s="12"/>
      <c r="B74" s="12"/>
    </row>
    <row r="75" customHeight="1" spans="1:2">
      <c r="A75" s="12"/>
      <c r="B75" s="12"/>
    </row>
    <row r="76" customHeight="1" spans="1:2">
      <c r="A76" s="12"/>
      <c r="B76" s="12"/>
    </row>
    <row r="77" customHeight="1" spans="1:2">
      <c r="A77" s="12"/>
      <c r="B77" s="12"/>
    </row>
    <row r="78" customHeight="1" spans="1:2">
      <c r="A78" s="12"/>
      <c r="B78" s="12"/>
    </row>
    <row r="79" customHeight="1" spans="1:2">
      <c r="A79" s="12"/>
      <c r="B79" s="12"/>
    </row>
    <row r="80" customHeight="1" spans="1:2">
      <c r="A80" s="12"/>
      <c r="B80" s="12"/>
    </row>
    <row r="81" customHeight="1" spans="1:2">
      <c r="A81" s="12"/>
      <c r="B81" s="12"/>
    </row>
    <row r="82" customHeight="1" spans="1:2">
      <c r="A82" s="12"/>
      <c r="B82" s="12"/>
    </row>
    <row r="83" customHeight="1" spans="1:2">
      <c r="A83" s="12"/>
      <c r="B83" s="12"/>
    </row>
    <row r="84" customHeight="1" spans="1:2">
      <c r="A84" s="12"/>
      <c r="B84" s="12"/>
    </row>
    <row r="85" customHeight="1" spans="1:2">
      <c r="A85" s="12"/>
      <c r="B85" s="12"/>
    </row>
    <row r="86" customHeight="1" spans="1:2">
      <c r="A86" s="12"/>
      <c r="B86" s="12"/>
    </row>
    <row r="87" customHeight="1" spans="1:2">
      <c r="A87" s="12"/>
      <c r="B87" s="12"/>
    </row>
    <row r="88" customHeight="1" spans="1:2">
      <c r="A88" s="12"/>
      <c r="B88" s="12"/>
    </row>
    <row r="89" customHeight="1" spans="1:2">
      <c r="A89" s="12"/>
      <c r="B89" s="12"/>
    </row>
    <row r="90" customHeight="1" spans="1:2">
      <c r="A90" s="12"/>
      <c r="B90" s="12"/>
    </row>
    <row r="91" customHeight="1" spans="1:2">
      <c r="A91" s="12"/>
      <c r="B91" s="12"/>
    </row>
    <row r="92" customHeight="1" spans="1:2">
      <c r="A92" s="12"/>
      <c r="B92" s="12"/>
    </row>
    <row r="93" customHeight="1" spans="1:2">
      <c r="A93" s="12"/>
      <c r="B93" s="12"/>
    </row>
    <row r="94" customHeight="1" spans="1:2">
      <c r="A94" s="12"/>
      <c r="B94" s="12"/>
    </row>
    <row r="95" customHeight="1" spans="1:2">
      <c r="A95" s="12"/>
      <c r="B95" s="12"/>
    </row>
    <row r="96" customHeight="1" spans="1:2">
      <c r="A96" s="12"/>
      <c r="B96" s="12"/>
    </row>
    <row r="97" customHeight="1" spans="1:2">
      <c r="A97" s="12"/>
      <c r="B97" s="12"/>
    </row>
    <row r="98" customHeight="1" spans="1:2">
      <c r="A98" s="12"/>
      <c r="B98" s="12"/>
    </row>
    <row r="99" customHeight="1" spans="1:2">
      <c r="A99" s="12"/>
      <c r="B99" s="12"/>
    </row>
    <row r="100" customHeight="1" spans="1:2">
      <c r="A100" s="12"/>
      <c r="B100" s="12"/>
    </row>
    <row r="101" customHeight="1" spans="1:2">
      <c r="A101" s="12"/>
      <c r="B101" s="12"/>
    </row>
    <row r="102" customHeight="1" spans="1:2">
      <c r="A102" s="12"/>
      <c r="B102" s="12"/>
    </row>
    <row r="103" customHeight="1" spans="1:2">
      <c r="A103" s="12"/>
      <c r="B103" s="12"/>
    </row>
    <row r="104" customHeight="1" spans="1:2">
      <c r="A104" s="12"/>
      <c r="B104" s="12"/>
    </row>
    <row r="105" customHeight="1" spans="1:2">
      <c r="A105" s="12"/>
      <c r="B105" s="12"/>
    </row>
    <row r="106" customHeight="1" spans="1:2">
      <c r="A106" s="12"/>
      <c r="B106" s="12"/>
    </row>
    <row r="107" customHeight="1" spans="1:2">
      <c r="A107" s="12"/>
      <c r="B107" s="12"/>
    </row>
    <row r="108" customHeight="1" spans="1:2">
      <c r="A108" s="12"/>
      <c r="B108" s="12"/>
    </row>
    <row r="109" customHeight="1" spans="1:2">
      <c r="A109" s="12"/>
      <c r="B109" s="12"/>
    </row>
    <row r="110" customHeight="1" spans="1:2">
      <c r="A110" s="12"/>
      <c r="B110" s="12"/>
    </row>
    <row r="111" customHeight="1" spans="1:2">
      <c r="A111" s="12"/>
      <c r="B111" s="12"/>
    </row>
    <row r="112" customHeight="1" spans="1:2">
      <c r="A112" s="12"/>
      <c r="B112" s="12"/>
    </row>
    <row r="113" customHeight="1" spans="1:2">
      <c r="A113" s="12"/>
      <c r="B113" s="12"/>
    </row>
    <row r="114" customHeight="1" spans="1:2">
      <c r="A114" s="12"/>
      <c r="B114" s="12"/>
    </row>
    <row r="115" customHeight="1" spans="1:2">
      <c r="A115" s="12"/>
      <c r="B115" s="12"/>
    </row>
    <row r="116" customHeight="1" spans="1:2">
      <c r="A116" s="12"/>
      <c r="B116" s="12"/>
    </row>
    <row r="117" customHeight="1" spans="1:2">
      <c r="A117" s="12"/>
      <c r="B117" s="12"/>
    </row>
    <row r="118" customHeight="1" spans="1:2">
      <c r="A118" s="12"/>
      <c r="B118" s="12"/>
    </row>
    <row r="119" customHeight="1" spans="1:2">
      <c r="A119" s="12"/>
      <c r="B119" s="12"/>
    </row>
    <row r="120" customHeight="1" spans="1:2">
      <c r="A120" s="12"/>
      <c r="B120" s="12"/>
    </row>
    <row r="121" customHeight="1" spans="1:2">
      <c r="A121" s="12"/>
      <c r="B121" s="12"/>
    </row>
    <row r="122" customHeight="1" spans="1:2">
      <c r="A122" s="12"/>
      <c r="B122" s="12"/>
    </row>
    <row r="123" customHeight="1" spans="1:2">
      <c r="A123" s="12"/>
      <c r="B123" s="12"/>
    </row>
    <row r="124" customHeight="1" spans="1:2">
      <c r="A124" s="12"/>
      <c r="B124" s="12"/>
    </row>
    <row r="125" customHeight="1" spans="1:2">
      <c r="A125" s="12"/>
      <c r="B125" s="12"/>
    </row>
    <row r="126" customHeight="1" spans="1:2">
      <c r="A126" s="12"/>
      <c r="B126" s="12"/>
    </row>
    <row r="127" customHeight="1" spans="1:2">
      <c r="A127" s="12"/>
      <c r="B127" s="12"/>
    </row>
    <row r="128" customHeight="1" spans="1:2">
      <c r="A128" s="12"/>
      <c r="B128" s="12"/>
    </row>
    <row r="129" customHeight="1" spans="1:2">
      <c r="A129" s="12"/>
      <c r="B129" s="12"/>
    </row>
    <row r="130" customHeight="1" spans="1:2">
      <c r="A130" s="12"/>
      <c r="B130" s="12"/>
    </row>
    <row r="131" customHeight="1" spans="1:2">
      <c r="A131" s="12"/>
      <c r="B131" s="12"/>
    </row>
    <row r="132" customHeight="1" spans="1:2">
      <c r="A132" s="12"/>
      <c r="B132" s="12"/>
    </row>
    <row r="133" customHeight="1" spans="1:2">
      <c r="A133" s="12"/>
      <c r="B133" s="12"/>
    </row>
    <row r="134" customHeight="1" spans="1:2">
      <c r="A134" s="12"/>
      <c r="B134" s="12"/>
    </row>
    <row r="135" customHeight="1" spans="1:2">
      <c r="A135" s="12"/>
      <c r="B135" s="12"/>
    </row>
    <row r="136" customHeight="1" spans="1:2">
      <c r="A136" s="12"/>
      <c r="B136" s="12"/>
    </row>
    <row r="137" customHeight="1" spans="1:2">
      <c r="A137" s="12"/>
      <c r="B137" s="12"/>
    </row>
    <row r="138" customHeight="1" spans="1:2">
      <c r="A138" s="12"/>
      <c r="B138" s="12"/>
    </row>
    <row r="139" customHeight="1" spans="1:2">
      <c r="A139" s="12"/>
      <c r="B139" s="12"/>
    </row>
    <row r="140" customHeight="1" spans="1:2">
      <c r="A140" s="12"/>
      <c r="B140" s="12"/>
    </row>
    <row r="141" customHeight="1" spans="1:2">
      <c r="A141" s="12"/>
      <c r="B141" s="12"/>
    </row>
    <row r="142" customHeight="1" spans="1:2">
      <c r="A142" s="12"/>
      <c r="B142" s="12"/>
    </row>
    <row r="143" customHeight="1" spans="1:2">
      <c r="A143" s="12"/>
      <c r="B143" s="12"/>
    </row>
    <row r="144" customHeight="1" spans="1:2">
      <c r="A144" s="12"/>
      <c r="B144" s="12"/>
    </row>
    <row r="145" customHeight="1" spans="1:2">
      <c r="A145" s="12"/>
      <c r="B145" s="12"/>
    </row>
    <row r="146" customHeight="1" spans="1:2">
      <c r="A146" s="12"/>
      <c r="B146" s="12"/>
    </row>
    <row r="147" customHeight="1" spans="1:2">
      <c r="A147" s="12"/>
      <c r="B147" s="12"/>
    </row>
    <row r="148" customHeight="1" spans="1:2">
      <c r="A148" s="12"/>
      <c r="B148" s="12"/>
    </row>
    <row r="149" customHeight="1" spans="1:2">
      <c r="A149" s="12"/>
      <c r="B149" s="12"/>
    </row>
    <row r="150" customHeight="1" spans="1:2">
      <c r="A150" s="12"/>
      <c r="B150" s="12"/>
    </row>
    <row r="151" customHeight="1" spans="1:2">
      <c r="A151" s="12"/>
      <c r="B151" s="12"/>
    </row>
    <row r="152" customHeight="1" spans="1:2">
      <c r="A152" s="12"/>
      <c r="B152" s="12"/>
    </row>
    <row r="153" customHeight="1" spans="1:2">
      <c r="A153" s="12"/>
      <c r="B153" s="12"/>
    </row>
    <row r="154" customHeight="1" spans="1:2">
      <c r="A154" s="12"/>
      <c r="B154" s="12"/>
    </row>
    <row r="155" customHeight="1" spans="1:2">
      <c r="A155" s="12"/>
      <c r="B155" s="12"/>
    </row>
    <row r="156" customHeight="1" spans="1:2">
      <c r="A156" s="12"/>
      <c r="B156" s="12"/>
    </row>
    <row r="157" customHeight="1" spans="1:2">
      <c r="A157" s="12"/>
      <c r="B157" s="12"/>
    </row>
    <row r="158" customHeight="1" spans="1:2">
      <c r="A158" s="12"/>
      <c r="B158" s="12"/>
    </row>
    <row r="159" customHeight="1" spans="1:2">
      <c r="A159" s="12"/>
      <c r="B159" s="12"/>
    </row>
    <row r="160" customHeight="1" spans="1:2">
      <c r="A160" s="12"/>
      <c r="B160" s="12"/>
    </row>
    <row r="161" customHeight="1" spans="1:2">
      <c r="A161" s="12"/>
      <c r="B161" s="12"/>
    </row>
    <row r="162" customHeight="1" spans="1:2">
      <c r="A162" s="12"/>
      <c r="B162" s="12"/>
    </row>
    <row r="163" customHeight="1" spans="1:2">
      <c r="A163" s="12"/>
      <c r="B163" s="12"/>
    </row>
    <row r="164" customHeight="1" spans="1:2">
      <c r="A164" s="12"/>
      <c r="B164" s="12"/>
    </row>
    <row r="165" customHeight="1" spans="1:2">
      <c r="A165" s="12"/>
      <c r="B165" s="12"/>
    </row>
    <row r="166" customHeight="1" spans="1:2">
      <c r="A166" s="12"/>
      <c r="B166" s="12"/>
    </row>
    <row r="167" customHeight="1" spans="1:2">
      <c r="A167" s="12"/>
      <c r="B167" s="12"/>
    </row>
    <row r="168" customHeight="1" spans="1:2">
      <c r="A168" s="12"/>
      <c r="B168" s="12"/>
    </row>
    <row r="169" customHeight="1" spans="1:2">
      <c r="A169" s="12"/>
      <c r="B169" s="12"/>
    </row>
    <row r="170" customHeight="1" spans="1:2">
      <c r="A170" s="12"/>
      <c r="B170" s="12"/>
    </row>
    <row r="171" customHeight="1" spans="1:2">
      <c r="A171" s="12"/>
      <c r="B171" s="12"/>
    </row>
    <row r="172" customHeight="1" spans="1:2">
      <c r="A172" s="12"/>
      <c r="B172" s="12"/>
    </row>
    <row r="173" customHeight="1" spans="1:2">
      <c r="A173" s="12"/>
      <c r="B173" s="12"/>
    </row>
    <row r="174" customHeight="1" spans="1:2">
      <c r="A174" s="12"/>
      <c r="B174" s="12"/>
    </row>
    <row r="175" customHeight="1" spans="1:2">
      <c r="A175" s="12"/>
      <c r="B175" s="12"/>
    </row>
    <row r="176" customHeight="1" spans="1:2">
      <c r="A176" s="12"/>
      <c r="B176" s="12"/>
    </row>
    <row r="177" customHeight="1" spans="1:2">
      <c r="A177" s="12"/>
      <c r="B177" s="12"/>
    </row>
    <row r="178" customHeight="1" spans="1:2">
      <c r="A178" s="12"/>
      <c r="B178" s="12"/>
    </row>
    <row r="179" customHeight="1" spans="1:2">
      <c r="A179" s="12"/>
      <c r="B179" s="12"/>
    </row>
    <row r="180" customHeight="1" spans="1:2">
      <c r="A180" s="12"/>
      <c r="B180" s="12"/>
    </row>
    <row r="181" customHeight="1" spans="1:2">
      <c r="A181" s="12"/>
      <c r="B181" s="12"/>
    </row>
    <row r="182" customHeight="1" spans="1:2">
      <c r="A182" s="12"/>
      <c r="B182" s="12"/>
    </row>
    <row r="183" customHeight="1" spans="1:2">
      <c r="A183" s="12"/>
      <c r="B183" s="12"/>
    </row>
    <row r="184" customHeight="1" spans="1:2">
      <c r="A184" s="12"/>
      <c r="B184" s="12"/>
    </row>
    <row r="185" customHeight="1" spans="1:2">
      <c r="A185" s="12"/>
      <c r="B185" s="12"/>
    </row>
    <row r="186" customHeight="1" spans="1:2">
      <c r="A186" s="12"/>
      <c r="B186" s="12"/>
    </row>
    <row r="187" customHeight="1" spans="1:2">
      <c r="A187" s="12"/>
      <c r="B187" s="12"/>
    </row>
    <row r="188" customHeight="1" spans="1:2">
      <c r="A188" s="12"/>
      <c r="B188" s="12"/>
    </row>
    <row r="189" customHeight="1" spans="1:2">
      <c r="A189" s="12"/>
      <c r="B189" s="12"/>
    </row>
    <row r="190" customHeight="1" spans="1:2">
      <c r="A190" s="12"/>
      <c r="B190" s="12"/>
    </row>
    <row r="191" customHeight="1" spans="1:2">
      <c r="A191" s="12"/>
      <c r="B191" s="12"/>
    </row>
    <row r="192" customHeight="1" spans="1:2">
      <c r="A192" s="12"/>
      <c r="B192" s="12"/>
    </row>
    <row r="193" customHeight="1" spans="1:2">
      <c r="A193" s="12"/>
      <c r="B193" s="12"/>
    </row>
    <row r="194" customHeight="1" spans="1:2">
      <c r="A194" s="12"/>
      <c r="B194" s="12"/>
    </row>
    <row r="195" customHeight="1" spans="1:2">
      <c r="A195" s="12"/>
      <c r="B195" s="12"/>
    </row>
    <row r="196" customHeight="1" spans="1:2">
      <c r="A196" s="12"/>
      <c r="B196" s="12"/>
    </row>
    <row r="197" customHeight="1" spans="1:2">
      <c r="A197" s="12"/>
      <c r="B197" s="12"/>
    </row>
    <row r="198" customHeight="1" spans="1:2">
      <c r="A198" s="12"/>
      <c r="B198" s="12"/>
    </row>
    <row r="199" customHeight="1" spans="1:2">
      <c r="A199" s="12"/>
      <c r="B199" s="12"/>
    </row>
    <row r="200" customHeight="1" spans="1:2">
      <c r="A200" s="12"/>
      <c r="B200" s="12"/>
    </row>
    <row r="201" customHeight="1" spans="1:2">
      <c r="A201" s="12"/>
      <c r="B201" s="12"/>
    </row>
    <row r="202" customHeight="1" spans="1:2">
      <c r="A202" s="12"/>
      <c r="B202" s="12"/>
    </row>
    <row r="203" customHeight="1" spans="1:2">
      <c r="A203" s="12"/>
      <c r="B203" s="12"/>
    </row>
    <row r="204" customHeight="1" spans="1:2">
      <c r="A204" s="12"/>
      <c r="B204" s="12"/>
    </row>
    <row r="205" customHeight="1" spans="1:2">
      <c r="A205" s="12"/>
      <c r="B205" s="12"/>
    </row>
    <row r="206" customHeight="1" spans="1:2">
      <c r="A206" s="12"/>
      <c r="B206" s="12"/>
    </row>
    <row r="207" customHeight="1" spans="1:2">
      <c r="A207" s="12"/>
      <c r="B207" s="12"/>
    </row>
    <row r="208" customHeight="1" spans="1:2">
      <c r="A208" s="12"/>
      <c r="B208" s="12"/>
    </row>
    <row r="209" customHeight="1" spans="1:2">
      <c r="A209" s="12"/>
      <c r="B209" s="12"/>
    </row>
    <row r="210" customHeight="1" spans="1:2">
      <c r="A210" s="12"/>
      <c r="B210" s="12"/>
    </row>
    <row r="211" customHeight="1" spans="1:2">
      <c r="A211" s="12"/>
      <c r="B211" s="12"/>
    </row>
    <row r="212" customHeight="1" spans="1:2">
      <c r="A212" s="12"/>
      <c r="B212" s="12"/>
    </row>
    <row r="213" customHeight="1" spans="1:2">
      <c r="A213" s="12"/>
      <c r="B213" s="12"/>
    </row>
    <row r="214" customHeight="1" spans="1:2">
      <c r="A214" s="12"/>
      <c r="B214" s="12"/>
    </row>
    <row r="215" customHeight="1" spans="1:2">
      <c r="A215" s="12"/>
      <c r="B215" s="12"/>
    </row>
    <row r="216" customHeight="1" spans="1:2">
      <c r="A216" s="12"/>
      <c r="B216" s="12"/>
    </row>
    <row r="217" customHeight="1" spans="1:2">
      <c r="A217" s="12"/>
      <c r="B217" s="12"/>
    </row>
    <row r="218" customHeight="1" spans="1:2">
      <c r="A218" s="12"/>
      <c r="B218" s="12"/>
    </row>
    <row r="219" customHeight="1" spans="1:2">
      <c r="A219" s="12"/>
      <c r="B219" s="12"/>
    </row>
    <row r="220" customHeight="1" spans="1:2">
      <c r="A220" s="12"/>
      <c r="B220" s="12"/>
    </row>
    <row r="221" customHeight="1" spans="1:2">
      <c r="A221" s="12"/>
      <c r="B221" s="12"/>
    </row>
    <row r="222" customHeight="1" spans="1:2">
      <c r="A222" s="12"/>
      <c r="B222" s="12"/>
    </row>
    <row r="223" customHeight="1" spans="1:2">
      <c r="A223" s="12"/>
      <c r="B223" s="12"/>
    </row>
    <row r="224" customHeight="1" spans="1:2">
      <c r="A224" s="12"/>
      <c r="B224" s="12"/>
    </row>
    <row r="225" customHeight="1" spans="1:2">
      <c r="A225" s="12"/>
      <c r="B225" s="12"/>
    </row>
    <row r="226" customHeight="1" spans="1:2">
      <c r="A226" s="12"/>
      <c r="B226" s="12"/>
    </row>
    <row r="227" customHeight="1" spans="1:2">
      <c r="A227" s="12"/>
      <c r="B227" s="12"/>
    </row>
    <row r="228" customHeight="1" spans="1:2">
      <c r="A228" s="12"/>
      <c r="B228" s="12"/>
    </row>
    <row r="229" customHeight="1" spans="1:2">
      <c r="A229" s="12"/>
      <c r="B229" s="12"/>
    </row>
    <row r="230" customHeight="1" spans="1:2">
      <c r="A230" s="12"/>
      <c r="B230" s="12"/>
    </row>
    <row r="231" customHeight="1" spans="1:2">
      <c r="A231" s="12"/>
      <c r="B231" s="12"/>
    </row>
    <row r="232" customHeight="1" spans="1:2">
      <c r="A232" s="12"/>
      <c r="B232" s="12"/>
    </row>
    <row r="233" customHeight="1" spans="1:2">
      <c r="A233" s="12"/>
      <c r="B233" s="12"/>
    </row>
    <row r="234" customHeight="1" spans="1:2">
      <c r="A234" s="12"/>
      <c r="B234" s="12"/>
    </row>
    <row r="235" customHeight="1" spans="1:2">
      <c r="A235" s="12"/>
      <c r="B235" s="12"/>
    </row>
    <row r="236" customHeight="1" spans="1:2">
      <c r="A236" s="12"/>
      <c r="B236" s="12"/>
    </row>
    <row r="237" customHeight="1" spans="1:2">
      <c r="A237" s="12"/>
      <c r="B237" s="12"/>
    </row>
    <row r="238" customHeight="1" spans="1:2">
      <c r="A238" s="12"/>
      <c r="B238" s="12"/>
    </row>
    <row r="239" customHeight="1" spans="1:2">
      <c r="A239" s="12"/>
      <c r="B239" s="12"/>
    </row>
    <row r="240" customHeight="1" spans="1:2">
      <c r="A240" s="12"/>
      <c r="B240" s="12"/>
    </row>
    <row r="241" customHeight="1" spans="1:2">
      <c r="A241" s="12"/>
      <c r="B241" s="12"/>
    </row>
    <row r="242" customHeight="1" spans="1:2">
      <c r="A242" s="12"/>
      <c r="B242" s="12"/>
    </row>
    <row r="243" customHeight="1" spans="1:2">
      <c r="A243" s="12"/>
      <c r="B243" s="12"/>
    </row>
    <row r="244" customHeight="1" spans="1:2">
      <c r="A244" s="12"/>
      <c r="B244" s="12"/>
    </row>
    <row r="245" customHeight="1" spans="1:2">
      <c r="A245" s="12"/>
      <c r="B245" s="12"/>
    </row>
    <row r="246" customHeight="1" spans="1:2">
      <c r="A246" s="12"/>
      <c r="B246" s="12"/>
    </row>
    <row r="247" customHeight="1" spans="1:2">
      <c r="A247" s="12"/>
      <c r="B247" s="12"/>
    </row>
    <row r="248" customHeight="1" spans="1:2">
      <c r="A248" s="12"/>
      <c r="B248" s="12"/>
    </row>
    <row r="249" customHeight="1" spans="1:2">
      <c r="A249" s="12"/>
      <c r="B249" s="12"/>
    </row>
    <row r="250" customHeight="1" spans="1:2">
      <c r="A250" s="12"/>
      <c r="B250" s="12"/>
    </row>
    <row r="251" customHeight="1" spans="1:2">
      <c r="A251" s="12"/>
      <c r="B251" s="12"/>
    </row>
    <row r="252" customHeight="1" spans="1:2">
      <c r="A252" s="12"/>
      <c r="B252" s="12"/>
    </row>
    <row r="253" customHeight="1" spans="1:2">
      <c r="A253" s="12"/>
      <c r="B253" s="12"/>
    </row>
  </sheetData>
  <sheetProtection formatColumns="0" formatRows="0" insertRows="0" deleteColumns="0" deleteRows="0" sort="0" autoFilter="0"/>
  <pageMargins left="0.75" right="0.75" top="1" bottom="1" header="0.5" footer="0.5"/>
  <pageSetup paperSize="9" orientation="portrait"/>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C99"/>
  </sheetPr>
  <dimension ref="A1:D36"/>
  <sheetViews>
    <sheetView showGridLines="0" workbookViewId="0">
      <selection activeCell="A1" sqref="A1"/>
    </sheetView>
  </sheetViews>
  <sheetFormatPr defaultColWidth="9.14285714285714" defaultRowHeight="11.25" customHeight="1" outlineLevelCol="3"/>
  <cols>
    <col min="1" max="1" width="3.71428571428571" customWidth="1"/>
    <col min="2" max="2" width="90.7142857142857" customWidth="1"/>
  </cols>
  <sheetData>
    <row r="1" customHeight="1" spans="2:2">
      <c r="B1" s="1" t="s">
        <v>6549</v>
      </c>
    </row>
    <row r="2" ht="90" customHeight="1" spans="2:2">
      <c r="B2" s="2" t="s">
        <v>6550</v>
      </c>
    </row>
    <row r="3" ht="67.5" customHeight="1" spans="2:2">
      <c r="B3" s="2" t="s">
        <v>6551</v>
      </c>
    </row>
    <row r="4" ht="33.75" customHeight="1" spans="2:2">
      <c r="B4" s="2" t="s">
        <v>6552</v>
      </c>
    </row>
    <row r="5" customHeight="1" spans="2:2">
      <c r="B5" s="2" t="s">
        <v>6553</v>
      </c>
    </row>
    <row r="6" ht="22.5" customHeight="1" spans="2:2">
      <c r="B6" s="2" t="s">
        <v>6554</v>
      </c>
    </row>
    <row r="7" ht="22.5" customHeight="1" spans="2:2">
      <c r="B7" s="2" t="s">
        <v>6555</v>
      </c>
    </row>
    <row r="8" ht="22.5" customHeight="1" spans="2:2">
      <c r="B8" s="2" t="s">
        <v>6556</v>
      </c>
    </row>
    <row r="9" ht="22.5" customHeight="1" spans="2:2">
      <c r="B9" s="2" t="s">
        <v>6557</v>
      </c>
    </row>
    <row r="10" ht="56.25" customHeight="1" spans="2:2">
      <c r="B10" s="2" t="s">
        <v>6558</v>
      </c>
    </row>
    <row r="11" ht="12.75" customHeight="1" spans="2:2">
      <c r="B11" s="3" t="s">
        <v>6559</v>
      </c>
    </row>
    <row r="12" customHeight="1" spans="2:2">
      <c r="B12" s="1" t="s">
        <v>6560</v>
      </c>
    </row>
    <row r="13" ht="22.5" customHeight="1" spans="2:2">
      <c r="B13" s="2" t="s">
        <v>6561</v>
      </c>
    </row>
    <row r="14" ht="67.5" customHeight="1" spans="2:2">
      <c r="B14" s="2" t="s">
        <v>6562</v>
      </c>
    </row>
    <row r="15" ht="22.5" customHeight="1" spans="2:2">
      <c r="B15" s="2" t="s">
        <v>6563</v>
      </c>
    </row>
    <row r="16" customHeight="1" spans="2:4">
      <c r="B16" s="1" t="s">
        <v>6564</v>
      </c>
      <c r="D16" s="4"/>
    </row>
    <row r="17" ht="33.75" customHeight="1" spans="2:2">
      <c r="B17" s="2" t="s">
        <v>6565</v>
      </c>
    </row>
    <row r="18" ht="33.75" customHeight="1" spans="2:2">
      <c r="B18" s="2" t="s">
        <v>6566</v>
      </c>
    </row>
    <row r="19" customHeight="1" spans="2:2">
      <c r="B19" s="2" t="s">
        <v>6567</v>
      </c>
    </row>
    <row r="20" ht="33.75" customHeight="1" spans="2:2">
      <c r="B20" s="2" t="s">
        <v>6568</v>
      </c>
    </row>
    <row r="21" customHeight="1" spans="2:2">
      <c r="B21" s="1" t="s">
        <v>6569</v>
      </c>
    </row>
    <row r="22" customHeight="1" spans="2:2">
      <c r="B22" s="2" t="s">
        <v>6570</v>
      </c>
    </row>
    <row r="24" ht="22.5" customHeight="1" spans="2:2">
      <c r="B24" s="5" t="s">
        <v>6571</v>
      </c>
    </row>
    <row r="26" customHeight="1" spans="2:2">
      <c r="B26" s="1" t="s">
        <v>6572</v>
      </c>
    </row>
    <row r="27" ht="22.5" customHeight="1" spans="2:2">
      <c r="B27" s="6" t="s">
        <v>401</v>
      </c>
    </row>
    <row r="28" ht="56.25" customHeight="1" spans="2:2">
      <c r="B28" s="6" t="s">
        <v>6573</v>
      </c>
    </row>
    <row r="29" customHeight="1" spans="2:2">
      <c r="B29" s="7" t="s">
        <v>6574</v>
      </c>
    </row>
    <row r="30" ht="22.5" customHeight="1" spans="2:2">
      <c r="B30" s="6" t="s">
        <v>6575</v>
      </c>
    </row>
    <row r="32" customHeight="1" spans="2:2">
      <c r="B32" s="8" t="s">
        <v>6576</v>
      </c>
    </row>
    <row r="33" ht="14.25" customHeight="1" spans="1:2">
      <c r="A33" s="9">
        <v>1</v>
      </c>
      <c r="B33" s="10" t="s">
        <v>6577</v>
      </c>
    </row>
    <row r="34" ht="14.25" customHeight="1" spans="1:2">
      <c r="A34" s="9">
        <v>2</v>
      </c>
      <c r="B34" s="10" t="s">
        <v>6578</v>
      </c>
    </row>
    <row r="35" customHeight="1" spans="2:2">
      <c r="B35" s="8" t="s">
        <v>6579</v>
      </c>
    </row>
    <row r="36" customHeight="1" spans="2:2">
      <c r="B36" s="10" t="s">
        <v>6580</v>
      </c>
    </row>
  </sheetData>
  <sheetProtection insertRows="0" deleteColumns="0" deleteRows="0" sort="0" autoFilter="0"/>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6"/>
  </sheetPr>
  <dimension ref="A1:V18"/>
  <sheetViews>
    <sheetView showGridLines="0" zoomScale="90" zoomScaleNormal="90" workbookViewId="0">
      <pane xSplit="4" ySplit="13" topLeftCell="E14" activePane="bottomRight" state="frozen"/>
      <selection/>
      <selection pane="topRight"/>
      <selection pane="bottomLeft"/>
      <selection pane="bottomRight" activeCell="A1" sqref="A1"/>
    </sheetView>
  </sheetViews>
  <sheetFormatPr defaultColWidth="10.5714285714286" defaultRowHeight="14.25" customHeight="1"/>
  <cols>
    <col min="1" max="1" width="9.14285714285714" style="572" hidden="1" customWidth="1"/>
    <col min="2" max="2" width="9.14285714285714" style="42" hidden="1" customWidth="1"/>
    <col min="3" max="3" width="3" style="216" customWidth="1"/>
    <col min="4" max="4" width="5" style="42" customWidth="1"/>
    <col min="5" max="5" width="38" style="42" customWidth="1"/>
    <col min="6" max="7" width="3" style="42" customWidth="1"/>
    <col min="8" max="8" width="38" style="42" customWidth="1"/>
    <col min="9" max="9" width="35" style="42" customWidth="1"/>
    <col min="10" max="10" width="103" style="42" customWidth="1"/>
    <col min="11" max="11" width="3" style="205" customWidth="1"/>
    <col min="12" max="14" width="10" style="43" customWidth="1"/>
    <col min="15" max="15" width="13" style="43" customWidth="1"/>
    <col min="16" max="16" width="15" style="43" customWidth="1"/>
    <col min="17" max="17" width="16" style="43" customWidth="1"/>
    <col min="18" max="21" width="10" style="43" customWidth="1"/>
    <col min="22" max="22" width="10.5714285714286" style="42" hidden="1"/>
  </cols>
  <sheetData>
    <row r="1" ht="22.5" hidden="1" customHeight="1" spans="5:22">
      <c r="E1" s="223"/>
      <c r="F1" s="223"/>
      <c r="G1" s="223"/>
      <c r="H1" s="47" t="s">
        <v>357</v>
      </c>
      <c r="I1" s="47"/>
      <c r="V1" s="42" t="s">
        <v>14</v>
      </c>
    </row>
    <row r="2" s="42" customFormat="1" hidden="1" customHeight="1" spans="3:22">
      <c r="C2" s="210"/>
      <c r="D2" s="1207" t="s">
        <v>111</v>
      </c>
      <c r="E2" s="1155"/>
      <c r="F2" s="1208"/>
      <c r="G2" s="231" t="s">
        <v>111</v>
      </c>
      <c r="H2" s="212"/>
      <c r="I2" s="984"/>
      <c r="L2" s="43"/>
      <c r="M2" s="43"/>
      <c r="N2" s="43"/>
      <c r="O2" s="43" t="s">
        <v>387</v>
      </c>
      <c r="P2" s="43"/>
      <c r="Q2" s="43"/>
      <c r="R2" s="150" t="s">
        <v>386</v>
      </c>
      <c r="S2" s="150" t="s">
        <v>386</v>
      </c>
      <c r="T2" s="43"/>
      <c r="U2" s="43"/>
      <c r="V2" s="42">
        <v>0</v>
      </c>
    </row>
    <row r="3" s="42" customFormat="1" hidden="1" customHeight="1" spans="3:22">
      <c r="C3" s="210"/>
      <c r="D3" s="1209"/>
      <c r="E3" s="1210"/>
      <c r="F3" s="568"/>
      <c r="G3" s="1211"/>
      <c r="H3" s="1211" t="s">
        <v>388</v>
      </c>
      <c r="I3" s="1094"/>
      <c r="L3" s="43"/>
      <c r="M3" s="43"/>
      <c r="N3" s="43"/>
      <c r="O3" s="43"/>
      <c r="P3" s="43"/>
      <c r="Q3" s="43"/>
      <c r="R3" s="150"/>
      <c r="S3" s="150"/>
      <c r="T3" s="43"/>
      <c r="U3" s="43"/>
      <c r="V3" s="42">
        <v>0</v>
      </c>
    </row>
    <row r="4" hidden="1" customHeight="1" spans="22:22">
      <c r="V4" s="42">
        <v>0</v>
      </c>
    </row>
    <row r="5" s="1206" customFormat="1" ht="5.25" customHeight="1" spans="3:22">
      <c r="C5" s="1212"/>
      <c r="D5" s="1213"/>
      <c r="E5" s="1213"/>
      <c r="F5" s="1213"/>
      <c r="G5" s="1213"/>
      <c r="H5" s="1213" t="s">
        <v>361</v>
      </c>
      <c r="I5" s="1213"/>
      <c r="J5" s="1213"/>
      <c r="L5" s="43"/>
      <c r="M5" s="43"/>
      <c r="N5" s="43"/>
      <c r="O5" s="43"/>
      <c r="P5" s="43"/>
      <c r="Q5" s="43"/>
      <c r="R5" s="43"/>
      <c r="S5" s="43"/>
      <c r="T5" s="43"/>
      <c r="U5" s="43"/>
      <c r="V5" s="1206">
        <v>5</v>
      </c>
    </row>
    <row r="6" ht="29.25" customHeight="1" spans="3:22">
      <c r="C6" s="210"/>
      <c r="D6" s="750" t="s">
        <v>389</v>
      </c>
      <c r="E6" s="750"/>
      <c r="F6" s="750"/>
      <c r="G6" s="750"/>
      <c r="H6" s="750"/>
      <c r="I6" s="750"/>
      <c r="J6" s="1197"/>
      <c r="K6" s="578"/>
      <c r="V6" s="42">
        <v>28</v>
      </c>
    </row>
    <row r="7" ht="18" customHeight="1" spans="3:22">
      <c r="C7" s="210"/>
      <c r="D7" s="657" t="str">
        <f>IF(org=0,"Не определено",org)</f>
        <v>АО "ОЭЗ ППТ "Алабуга"</v>
      </c>
      <c r="E7" s="657"/>
      <c r="F7" s="657"/>
      <c r="G7" s="657"/>
      <c r="H7" s="657"/>
      <c r="I7" s="657"/>
      <c r="J7" s="1197"/>
      <c r="K7" s="578"/>
      <c r="V7" s="42">
        <v>17</v>
      </c>
    </row>
    <row r="8" s="207" customFormat="1" ht="5.25" customHeight="1" spans="1:22">
      <c r="A8" s="1182"/>
      <c r="C8" s="1183"/>
      <c r="D8" s="1199"/>
      <c r="E8" s="1199"/>
      <c r="F8" s="1199"/>
      <c r="G8" s="1199"/>
      <c r="H8" s="1199"/>
      <c r="I8" s="1199"/>
      <c r="J8" s="1199"/>
      <c r="L8" s="43"/>
      <c r="M8" s="43"/>
      <c r="N8" s="43"/>
      <c r="O8" s="43"/>
      <c r="P8" s="43"/>
      <c r="Q8" s="43"/>
      <c r="R8" s="43"/>
      <c r="S8" s="43"/>
      <c r="T8" s="43"/>
      <c r="U8" s="43"/>
      <c r="V8" s="207">
        <v>5</v>
      </c>
    </row>
    <row r="9" s="207" customFormat="1" ht="5.25" customHeight="1" spans="1:22">
      <c r="A9" s="1182"/>
      <c r="C9" s="1183"/>
      <c r="D9" s="1199"/>
      <c r="E9" s="1199"/>
      <c r="F9" s="1199"/>
      <c r="G9" s="1199"/>
      <c r="H9" s="1199"/>
      <c r="I9" s="1199"/>
      <c r="J9" s="1199"/>
      <c r="L9" s="43"/>
      <c r="M9" s="43"/>
      <c r="N9" s="43"/>
      <c r="O9" s="43"/>
      <c r="P9" s="43"/>
      <c r="Q9" s="43"/>
      <c r="R9" s="43"/>
      <c r="S9" s="43"/>
      <c r="T9" s="43"/>
      <c r="U9" s="43"/>
      <c r="V9" s="207">
        <v>5</v>
      </c>
    </row>
    <row r="10" ht="14.7" customHeight="1" spans="3:22">
      <c r="C10" s="210"/>
      <c r="D10" s="131" t="s">
        <v>305</v>
      </c>
      <c r="E10" s="1142"/>
      <c r="F10" s="1142"/>
      <c r="G10" s="1142"/>
      <c r="H10" s="1142"/>
      <c r="I10" s="1142"/>
      <c r="J10" s="130" t="s">
        <v>306</v>
      </c>
      <c r="V10" s="42">
        <v>14</v>
      </c>
    </row>
    <row r="11" ht="27.3" customHeight="1" spans="3:22">
      <c r="C11" s="210"/>
      <c r="D11" s="63" t="s">
        <v>89</v>
      </c>
      <c r="E11" s="130" t="s">
        <v>107</v>
      </c>
      <c r="F11" s="892" t="s">
        <v>89</v>
      </c>
      <c r="G11" s="893"/>
      <c r="H11" s="70" t="s">
        <v>390</v>
      </c>
      <c r="I11" s="70" t="s">
        <v>391</v>
      </c>
      <c r="J11" s="130"/>
      <c r="V11" s="42">
        <v>26</v>
      </c>
    </row>
    <row r="12" ht="14.7" customHeight="1" spans="3:22">
      <c r="C12" s="210"/>
      <c r="D12" s="63"/>
      <c r="E12" s="130"/>
      <c r="F12" s="896"/>
      <c r="G12" s="897"/>
      <c r="H12" s="72"/>
      <c r="I12" s="72"/>
      <c r="J12" s="130"/>
      <c r="V12" s="42">
        <v>14</v>
      </c>
    </row>
    <row r="13" s="36" customFormat="1" ht="11.25" hidden="1" customHeight="1" spans="3:22">
      <c r="C13" s="1128"/>
      <c r="D13" s="1214" t="s">
        <v>381</v>
      </c>
      <c r="E13" s="1214"/>
      <c r="F13" s="1214"/>
      <c r="G13" s="1214"/>
      <c r="H13" s="1008"/>
      <c r="I13" s="1008"/>
      <c r="J13" s="6"/>
      <c r="L13" s="43"/>
      <c r="M13" s="43"/>
      <c r="N13" s="43"/>
      <c r="O13" s="43"/>
      <c r="P13" s="43"/>
      <c r="Q13" s="43"/>
      <c r="R13" s="43"/>
      <c r="S13" s="43"/>
      <c r="T13" s="43"/>
      <c r="U13" s="43"/>
      <c r="V13" s="36">
        <v>0</v>
      </c>
    </row>
    <row r="14" ht="14.7" customHeight="1" spans="1:22">
      <c r="A14" s="42"/>
      <c r="C14" s="210"/>
      <c r="D14" s="1207" t="s">
        <v>111</v>
      </c>
      <c r="E14" s="1155"/>
      <c r="F14" s="1208"/>
      <c r="G14" s="231" t="s">
        <v>111</v>
      </c>
      <c r="H14" s="212"/>
      <c r="I14" s="984"/>
      <c r="J14" s="580" t="s">
        <v>392</v>
      </c>
      <c r="K14" s="42"/>
      <c r="R14" s="150" t="s">
        <v>386</v>
      </c>
      <c r="S14" s="150" t="s">
        <v>386</v>
      </c>
      <c r="V14" s="42">
        <v>14</v>
      </c>
    </row>
    <row r="15" ht="14.7" customHeight="1" spans="1:22">
      <c r="A15" s="42"/>
      <c r="C15" s="210"/>
      <c r="D15" s="1209"/>
      <c r="E15" s="1210"/>
      <c r="F15" s="568"/>
      <c r="G15" s="1211"/>
      <c r="H15" s="1211" t="s">
        <v>388</v>
      </c>
      <c r="I15" s="1094"/>
      <c r="J15" s="774"/>
      <c r="K15" s="42"/>
      <c r="R15" s="150"/>
      <c r="S15" s="150"/>
      <c r="V15" s="42">
        <v>14</v>
      </c>
    </row>
    <row r="16" ht="14.7" customHeight="1" spans="1:22">
      <c r="A16" s="42"/>
      <c r="C16" s="210"/>
      <c r="D16" s="568"/>
      <c r="E16" s="1211" t="s">
        <v>123</v>
      </c>
      <c r="F16" s="1094"/>
      <c r="G16" s="1094"/>
      <c r="H16" s="1215"/>
      <c r="I16" s="1215"/>
      <c r="J16" s="581"/>
      <c r="K16" s="42"/>
      <c r="V16" s="42">
        <v>14</v>
      </c>
    </row>
    <row r="17" ht="14.7" customHeight="1" spans="11:22">
      <c r="K17" s="42"/>
      <c r="V17" s="42">
        <v>14</v>
      </c>
    </row>
    <row r="18" ht="22.5" hidden="1" customHeight="1" spans="1:22">
      <c r="A18" s="572" t="s">
        <v>83</v>
      </c>
      <c r="B18" s="42">
        <v>0</v>
      </c>
      <c r="C18" s="216">
        <v>3</v>
      </c>
      <c r="D18" s="42">
        <v>5</v>
      </c>
      <c r="E18" s="42">
        <v>38</v>
      </c>
      <c r="F18" s="42">
        <v>3</v>
      </c>
      <c r="G18" s="42">
        <v>3</v>
      </c>
      <c r="H18" s="42">
        <v>38</v>
      </c>
      <c r="I18" s="42">
        <v>35</v>
      </c>
      <c r="J18" s="42">
        <v>103</v>
      </c>
      <c r="K18" s="205">
        <v>3</v>
      </c>
      <c r="L18" s="43">
        <v>10</v>
      </c>
      <c r="M18" s="43">
        <v>10</v>
      </c>
      <c r="N18" s="43">
        <v>10</v>
      </c>
      <c r="O18" s="43">
        <v>13</v>
      </c>
      <c r="P18" s="43">
        <v>15</v>
      </c>
      <c r="Q18" s="43">
        <v>16</v>
      </c>
      <c r="R18" s="43">
        <v>10</v>
      </c>
      <c r="S18" s="43">
        <v>10</v>
      </c>
      <c r="T18" s="43">
        <v>10</v>
      </c>
      <c r="U18" s="43">
        <v>10</v>
      </c>
      <c r="V18" s="42">
        <v>23</v>
      </c>
    </row>
  </sheetData>
  <sheetProtection formatColumns="0" formatRows="0" insertRows="0" deleteColumns="0" deleteRows="0" sort="0" autoFilter="0"/>
  <mergeCells count="15">
    <mergeCell ref="H1:I1"/>
    <mergeCell ref="D6:I6"/>
    <mergeCell ref="D7:I7"/>
    <mergeCell ref="D10:I10"/>
    <mergeCell ref="D2:D3"/>
    <mergeCell ref="D11:D12"/>
    <mergeCell ref="D14:D15"/>
    <mergeCell ref="E2:E3"/>
    <mergeCell ref="E11:E12"/>
    <mergeCell ref="E14:E15"/>
    <mergeCell ref="H11:H12"/>
    <mergeCell ref="I11:I12"/>
    <mergeCell ref="J10:J12"/>
    <mergeCell ref="J14:J16"/>
    <mergeCell ref="F11:G12"/>
  </mergeCells>
  <dataValidations count="5">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2 E14"/>
    <dataValidation type="textLength" operator="lessThanOrEqual" allowBlank="1" showInputMessage="1" showErrorMessage="1" errorTitle="Ошибка" error="Допускается ввод не более 900 символов!" sqref="H2 H14">
      <formula1>900</formula1>
    </dataValidation>
    <dataValidation type="whole" operator="between" allowBlank="1" showErrorMessage="1" errorTitle="Ошибка" error="Допускается ввод только неотрицательных целых чисел!" sqref="I2 I14">
      <formula1>0</formula1>
      <formula2>9.99999999999999E+23</formula2>
    </dataValidation>
    <dataValidation allowBlank="1" showErrorMessage="1" errorTitle="Ошибка" error="Допускается ввод только неотрицательных чисел!" sqref="E13:G13"/>
    <dataValidation type="decimal" operator="between" allowBlank="1" showErrorMessage="1" errorTitle="Ошибка" error="Допускается ввод только неотрицательных чисел!" sqref="H13:I13">
      <formula1>0</formula1>
      <formula2>9.99999999999999E+23</formula2>
    </dataValidation>
  </dataValidation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ФАС России</Company>
  <Application>Microsoft Excel</Application>
  <HeadingPairs>
    <vt:vector size="2" baseType="variant">
      <vt:variant>
        <vt:lpstr>工作表</vt:lpstr>
      </vt:variant>
      <vt:variant>
        <vt:i4>89</vt:i4>
      </vt:variant>
    </vt:vector>
  </HeadingPairs>
  <TitlesOfParts>
    <vt:vector size="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Камилла Баимова</cp:lastModifiedBy>
  <dcterms:created xsi:type="dcterms:W3CDTF">2004-05-21T07:18:00Z</dcterms:created>
  <cp:lastPrinted>2013-08-29T08:11:00Z</cp:lastPrinted>
  <dcterms:modified xsi:type="dcterms:W3CDTF">2024-09-13T10:20:45Z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4B7E384DA1664068A82DD08EE1A19F8E_12</vt:lpwstr>
  </property>
  <property fmtid="{D5CDD505-2E9C-101B-9397-08002B2CF9AE}" pid="3" name="KSOProductBuildVer">
    <vt:lpwstr>1049-12.2.0.19805</vt:lpwstr>
  </property>
</Properties>
</file>